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idaviruinvestagentuur-my.sharepoint.com/personal/kersti_raja_ivia_ee/Documents/Documents/IVIA/toetusprogrammid/ÕÜF/Tugiteenused ja -taristu/taristu/Jõhvi/Taotlus_Digi ja MM/mai/"/>
    </mc:Choice>
  </mc:AlternateContent>
  <xr:revisionPtr revIDLastSave="24" documentId="8_{E691F165-B71A-4E3F-823A-3418CF39C8A7}" xr6:coauthVersionLast="47" xr6:coauthVersionMax="47" xr10:uidLastSave="{4F32EECF-BFAA-499A-8740-5447E3E90F41}"/>
  <bookViews>
    <workbookView xWindow="-110" yWindow="-110" windowWidth="19420" windowHeight="10420" tabRatio="732" activeTab="3" xr2:uid="{00000000-000D-0000-FFFF-FFFF01000000}"/>
  </bookViews>
  <sheets>
    <sheet name="Juhend" sheetId="6" r:id="rId1"/>
    <sheet name="Esileht" sheetId="9" r:id="rId2"/>
    <sheet name="1. Projekti elluviimise kulud" sheetId="2" r:id="rId3"/>
    <sheet name="2. Tulud-kulud projektiga" sheetId="1" r:id="rId4"/>
    <sheet name="3. Tulud-kulud projektita" sheetId="4" r:id="rId5"/>
    <sheet name="4. Lisanduvad tulud-kulud" sheetId="5" r:id="rId6"/>
    <sheet name="7. Tasuvus" sheetId="11" r:id="rId7"/>
    <sheet name="5. Abikõlblik kulu" sheetId="7" r:id="rId8"/>
    <sheet name="6. Rahavood" sheetId="8" r:id="rId9"/>
    <sheet name="8. Jääkväärtus" sheetId="13" r:id="rId10"/>
    <sheet name="Sots.majanduslik moju" sheetId="18" r:id="rId11"/>
    <sheet name="Eeldused SotsMajand. moju" sheetId="20" r:id="rId12"/>
    <sheet name="Maksumäärad" sheetId="10" r:id="rId13"/>
    <sheet name="Arvestusperioodid" sheetId="12" r:id="rId14"/>
    <sheet name="Asendusinvesteeringud" sheetId="22" r:id="rId15"/>
    <sheet name="Ruumid" sheetId="14" r:id="rId16"/>
    <sheet name="Eeldused25" sheetId="23" r:id="rId17"/>
    <sheet name="Kulud25" sheetId="25" r:id="rId18"/>
    <sheet name="Tulud25" sheetId="24" r:id="rId19"/>
    <sheet name="Eeldused50" sheetId="15" r:id="rId20"/>
    <sheet name="Kulud50" sheetId="17" r:id="rId21"/>
    <sheet name="Tulud50" sheetId="16" r:id="rId22"/>
    <sheet name="Eeldused75" sheetId="26" r:id="rId23"/>
    <sheet name="Kulud75" sheetId="28" r:id="rId24"/>
    <sheet name="Tulud75" sheetId="27" r:id="rId25"/>
    <sheet name="Tegevuseelarve" sheetId="19" r:id="rId26"/>
    <sheet name="Link tabel" sheetId="21" state="hidden" r:id="rId27"/>
  </sheets>
  <externalReferences>
    <externalReference r:id="rId28"/>
    <externalReference r:id="rId29"/>
  </externalReferences>
  <definedNames>
    <definedName name="Excel_BuiltIn_Database_0">#REF!</definedName>
    <definedName name="_xlnm.Print_Area" localSheetId="17">Kulud25!$A$1:$E$71</definedName>
    <definedName name="_xlnm.Print_Area" localSheetId="20">Kulud50!$A$1:$E$71</definedName>
    <definedName name="_xlnm.Print_Area" localSheetId="23">Kulud75!$A$1:$E$71</definedName>
    <definedName name="_xlnm.Print_Titles" localSheetId="2">'1. Projekti elluviimise kulud'!$A:$B</definedName>
    <definedName name="_xlnm.Print_Titles" localSheetId="3">'2. Tulud-kulud projektiga'!$A:$C,'2. Tulud-kulud projektiga'!$2:$4</definedName>
    <definedName name="_xlnm.Print_Titles" localSheetId="4">'3. Tulud-kulud projektita'!$A:$C,'3. Tulud-kulud projektita'!$2:$4</definedName>
    <definedName name="_xlnm.Print_Titles" localSheetId="5">'4. Lisanduvad tulud-kulud'!$A:$C,'4. Lisanduvad tulud-kulud'!$2:$4</definedName>
    <definedName name="_xlnm.Print_Titles" localSheetId="8">'6. Rahavood'!$A:$A,'6. Rahavood'!$3:$4</definedName>
    <definedName name="_xlnm.Print_Titles" localSheetId="6">'7. Tasuvus'!$A:$A,'7. Tasuvus'!$3:$4</definedName>
    <definedName name="_xlnm.Print_Titles" localSheetId="9">'8. Jääkväärtus'!$A:$A,'8. Jääkväärtus'!$6:$7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1" l="1"/>
  <c r="F59" i="1"/>
  <c r="F58" i="1"/>
  <c r="D5" i="22"/>
  <c r="C5" i="22"/>
  <c r="F109" i="1"/>
  <c r="F108" i="1"/>
  <c r="F107" i="1"/>
  <c r="F106" i="1"/>
  <c r="F94" i="1"/>
  <c r="F87" i="1"/>
  <c r="F86" i="1"/>
  <c r="F85" i="1"/>
  <c r="F84" i="1"/>
  <c r="F83" i="1"/>
  <c r="F82" i="1"/>
  <c r="F36" i="1"/>
  <c r="F32" i="1"/>
  <c r="F28" i="1"/>
  <c r="F24" i="1"/>
  <c r="F20" i="1"/>
  <c r="F16" i="1"/>
  <c r="F12" i="1"/>
  <c r="F8" i="1"/>
  <c r="F44" i="1"/>
  <c r="G44" i="1"/>
  <c r="G36" i="1"/>
  <c r="G32" i="1"/>
  <c r="G28" i="1"/>
  <c r="G24" i="1"/>
  <c r="G20" i="1"/>
  <c r="G16" i="1"/>
  <c r="G12" i="1"/>
  <c r="G8" i="1"/>
  <c r="C5" i="26"/>
  <c r="C5" i="15"/>
  <c r="C5" i="23"/>
  <c r="C11" i="28"/>
  <c r="C10" i="28"/>
  <c r="C6" i="28"/>
  <c r="C11" i="17"/>
  <c r="C10" i="17"/>
  <c r="C6" i="17"/>
  <c r="C11" i="25"/>
  <c r="C10" i="25"/>
  <c r="C6" i="25"/>
  <c r="D14" i="26"/>
  <c r="D14" i="15"/>
  <c r="D14" i="23"/>
  <c r="L7" i="20"/>
  <c r="A17" i="24"/>
  <c r="C9" i="28" l="1"/>
  <c r="C5" i="28" s="1"/>
  <c r="C9" i="17"/>
  <c r="C5" i="17" s="1"/>
  <c r="C9" i="25"/>
  <c r="C5" i="25"/>
  <c r="H28" i="1"/>
  <c r="I28" i="1" s="1"/>
  <c r="J28" i="1" s="1"/>
  <c r="K28" i="1" s="1"/>
  <c r="L28" i="1" s="1"/>
  <c r="M28" i="1" s="1"/>
  <c r="N28" i="1" s="1"/>
  <c r="O28" i="1" s="1"/>
  <c r="P28" i="1" s="1"/>
  <c r="Q28" i="1" s="1"/>
  <c r="R28" i="1" s="1"/>
  <c r="R14" i="27"/>
  <c r="S14" i="27" s="1"/>
  <c r="R14" i="16"/>
  <c r="S14" i="16" s="1"/>
  <c r="H36" i="1"/>
  <c r="I36" i="1" s="1"/>
  <c r="J36" i="1" s="1"/>
  <c r="K36" i="1" s="1"/>
  <c r="L36" i="1" s="1"/>
  <c r="M36" i="1" s="1"/>
  <c r="N36" i="1" s="1"/>
  <c r="O36" i="1" s="1"/>
  <c r="P36" i="1" s="1"/>
  <c r="Q36" i="1" s="1"/>
  <c r="R36" i="1" s="1"/>
  <c r="H32" i="1"/>
  <c r="I32" i="1" s="1"/>
  <c r="J32" i="1" s="1"/>
  <c r="K32" i="1" s="1"/>
  <c r="L32" i="1" s="1"/>
  <c r="M32" i="1" s="1"/>
  <c r="N32" i="1" s="1"/>
  <c r="O32" i="1" s="1"/>
  <c r="P32" i="1" s="1"/>
  <c r="Q32" i="1" s="1"/>
  <c r="R32" i="1" s="1"/>
  <c r="H24" i="1"/>
  <c r="I24" i="1" s="1"/>
  <c r="J24" i="1" s="1"/>
  <c r="K24" i="1" s="1"/>
  <c r="L24" i="1" s="1"/>
  <c r="M24" i="1" s="1"/>
  <c r="N24" i="1" s="1"/>
  <c r="O24" i="1" s="1"/>
  <c r="P24" i="1" s="1"/>
  <c r="Q24" i="1" s="1"/>
  <c r="R24" i="1" s="1"/>
  <c r="H20" i="1"/>
  <c r="I20" i="1" s="1"/>
  <c r="J20" i="1" s="1"/>
  <c r="K20" i="1" s="1"/>
  <c r="L20" i="1" s="1"/>
  <c r="M20" i="1" s="1"/>
  <c r="N20" i="1" s="1"/>
  <c r="O20" i="1" s="1"/>
  <c r="P20" i="1" s="1"/>
  <c r="Q20" i="1" s="1"/>
  <c r="R20" i="1" s="1"/>
  <c r="S14" i="24"/>
  <c r="R14" i="24"/>
  <c r="F19" i="1" s="1"/>
  <c r="G19" i="1" s="1"/>
  <c r="H19" i="1" s="1"/>
  <c r="H16" i="1"/>
  <c r="I16" i="1" s="1"/>
  <c r="J16" i="1" s="1"/>
  <c r="K16" i="1" s="1"/>
  <c r="L16" i="1" s="1"/>
  <c r="M16" i="1" s="1"/>
  <c r="N16" i="1" s="1"/>
  <c r="O16" i="1" s="1"/>
  <c r="P16" i="1" s="1"/>
  <c r="Q16" i="1" s="1"/>
  <c r="R16" i="1" s="1"/>
  <c r="A43" i="1"/>
  <c r="C33" i="19"/>
  <c r="C32" i="19"/>
  <c r="I19" i="1" l="1"/>
  <c r="J19" i="1" s="1"/>
  <c r="K19" i="1" s="1"/>
  <c r="L19" i="1" s="1"/>
  <c r="M19" i="1"/>
  <c r="N19" i="1" s="1"/>
  <c r="O19" i="1" s="1"/>
  <c r="P19" i="1" s="1"/>
  <c r="Q19" i="1" s="1"/>
  <c r="R19" i="1" s="1"/>
  <c r="E31" i="2"/>
  <c r="D28" i="28"/>
  <c r="E28" i="28" s="1"/>
  <c r="G28" i="28" s="1"/>
  <c r="D28" i="25"/>
  <c r="E28" i="25" s="1"/>
  <c r="D28" i="17"/>
  <c r="E28" i="17" s="1"/>
  <c r="G28" i="25" l="1"/>
  <c r="M60" i="1"/>
  <c r="N60" i="1" s="1"/>
  <c r="O60" i="1" s="1"/>
  <c r="P60" i="1" s="1"/>
  <c r="Q60" i="1" s="1"/>
  <c r="R60" i="1" s="1"/>
  <c r="G28" i="17"/>
  <c r="I60" i="1"/>
  <c r="J60" i="1" s="1"/>
  <c r="K60" i="1" s="1"/>
  <c r="L60" i="1" s="1"/>
  <c r="G60" i="1"/>
  <c r="H60" i="1" s="1"/>
  <c r="C20" i="27"/>
  <c r="G20" i="27" s="1"/>
  <c r="H20" i="27" s="1"/>
  <c r="B20" i="27"/>
  <c r="A20" i="27"/>
  <c r="C19" i="27"/>
  <c r="B19" i="27"/>
  <c r="N19" i="27" s="1"/>
  <c r="M31" i="1" s="1"/>
  <c r="N31" i="1" s="1"/>
  <c r="O31" i="1" s="1"/>
  <c r="P31" i="1" s="1"/>
  <c r="Q31" i="1" s="1"/>
  <c r="R31" i="1" s="1"/>
  <c r="A19" i="27"/>
  <c r="A18" i="27"/>
  <c r="C17" i="27"/>
  <c r="B17" i="27"/>
  <c r="A17" i="27"/>
  <c r="C16" i="27"/>
  <c r="B16" i="27"/>
  <c r="A16" i="27"/>
  <c r="A15" i="27"/>
  <c r="C14" i="27"/>
  <c r="B14" i="27"/>
  <c r="A14" i="27"/>
  <c r="C13" i="27"/>
  <c r="B13" i="27"/>
  <c r="A13" i="27"/>
  <c r="C12" i="27"/>
  <c r="A12" i="27"/>
  <c r="C11" i="27"/>
  <c r="A11" i="27"/>
  <c r="A10" i="27"/>
  <c r="A9" i="27"/>
  <c r="A8" i="27"/>
  <c r="A7" i="27"/>
  <c r="F27" i="26"/>
  <c r="F69" i="28"/>
  <c r="G68" i="28"/>
  <c r="G67" i="28"/>
  <c r="E59" i="28"/>
  <c r="G59" i="28" s="1"/>
  <c r="E58" i="28"/>
  <c r="E57" i="28"/>
  <c r="E54" i="28"/>
  <c r="E52" i="28"/>
  <c r="D52" i="28" s="1"/>
  <c r="D51" i="28"/>
  <c r="E50" i="28"/>
  <c r="D50" i="28" s="1"/>
  <c r="E49" i="28"/>
  <c r="D49" i="28"/>
  <c r="E45" i="28"/>
  <c r="D44" i="28"/>
  <c r="E44" i="28" s="1"/>
  <c r="G37" i="28"/>
  <c r="G36" i="28"/>
  <c r="F36" i="28"/>
  <c r="E36" i="28"/>
  <c r="E33" i="28"/>
  <c r="G33" i="28" s="1"/>
  <c r="E32" i="28"/>
  <c r="E31" i="28" s="1"/>
  <c r="F31" i="28"/>
  <c r="E30" i="28"/>
  <c r="E29" i="28" s="1"/>
  <c r="F29" i="28"/>
  <c r="D27" i="28"/>
  <c r="E27" i="28" s="1"/>
  <c r="G27" i="28" s="1"/>
  <c r="D26" i="28"/>
  <c r="F25" i="28"/>
  <c r="A17" i="28"/>
  <c r="C16" i="28"/>
  <c r="G15" i="28"/>
  <c r="C15" i="28"/>
  <c r="A15" i="28"/>
  <c r="G1" i="28"/>
  <c r="N31" i="27"/>
  <c r="M31" i="27"/>
  <c r="N29" i="27"/>
  <c r="M29" i="27"/>
  <c r="N28" i="27"/>
  <c r="M28" i="27"/>
  <c r="O28" i="27" s="1"/>
  <c r="N27" i="27"/>
  <c r="M27" i="27"/>
  <c r="N20" i="27"/>
  <c r="M35" i="1" s="1"/>
  <c r="N35" i="1" s="1"/>
  <c r="O35" i="1" s="1"/>
  <c r="P35" i="1" s="1"/>
  <c r="Q35" i="1" s="1"/>
  <c r="R35" i="1" s="1"/>
  <c r="G19" i="27"/>
  <c r="H19" i="27" s="1"/>
  <c r="N17" i="27"/>
  <c r="M27" i="1" s="1"/>
  <c r="N27" i="1" s="1"/>
  <c r="O27" i="1" s="1"/>
  <c r="P27" i="1" s="1"/>
  <c r="Q27" i="1" s="1"/>
  <c r="R27" i="1" s="1"/>
  <c r="M17" i="27"/>
  <c r="G17" i="27"/>
  <c r="H17" i="27" s="1"/>
  <c r="G16" i="27"/>
  <c r="H16" i="27" s="1"/>
  <c r="N16" i="27"/>
  <c r="M23" i="1" s="1"/>
  <c r="N23" i="1" s="1"/>
  <c r="O23" i="1" s="1"/>
  <c r="P23" i="1" s="1"/>
  <c r="Q23" i="1" s="1"/>
  <c r="R23" i="1" s="1"/>
  <c r="M14" i="27"/>
  <c r="G14" i="27"/>
  <c r="H14" i="27" s="1"/>
  <c r="N14" i="27"/>
  <c r="N13" i="27"/>
  <c r="M15" i="1" s="1"/>
  <c r="N15" i="1" s="1"/>
  <c r="O15" i="1" s="1"/>
  <c r="P15" i="1" s="1"/>
  <c r="Q15" i="1" s="1"/>
  <c r="R15" i="1" s="1"/>
  <c r="M13" i="27"/>
  <c r="G13" i="27"/>
  <c r="H13" i="27" s="1"/>
  <c r="G11" i="27"/>
  <c r="H11" i="27" s="1"/>
  <c r="G9" i="27"/>
  <c r="H9" i="27" s="1"/>
  <c r="H43" i="26"/>
  <c r="D43" i="26"/>
  <c r="E43" i="26" s="1"/>
  <c r="A43" i="26"/>
  <c r="A48" i="26" s="1"/>
  <c r="A42" i="26"/>
  <c r="A47" i="26" s="1"/>
  <c r="B41" i="26"/>
  <c r="C18" i="26"/>
  <c r="C20" i="26" s="1"/>
  <c r="M19" i="27" l="1"/>
  <c r="E16" i="28"/>
  <c r="F16" i="28" s="1"/>
  <c r="F15" i="28" s="1"/>
  <c r="O29" i="27"/>
  <c r="E8" i="28"/>
  <c r="G8" i="28" s="1"/>
  <c r="D36" i="28"/>
  <c r="C18" i="19"/>
  <c r="D29" i="28"/>
  <c r="C16" i="19"/>
  <c r="M107" i="1"/>
  <c r="C21" i="19"/>
  <c r="M106" i="1"/>
  <c r="D31" i="28"/>
  <c r="C17" i="19"/>
  <c r="G32" i="28"/>
  <c r="E56" i="28"/>
  <c r="M109" i="1" s="1"/>
  <c r="O31" i="27"/>
  <c r="M94" i="1"/>
  <c r="D25" i="28"/>
  <c r="E48" i="28"/>
  <c r="C20" i="19" s="1"/>
  <c r="M85" i="1"/>
  <c r="G30" i="28"/>
  <c r="G29" i="28" s="1"/>
  <c r="M59" i="1"/>
  <c r="E7" i="28"/>
  <c r="F7" i="28" s="1"/>
  <c r="O19" i="27"/>
  <c r="O13" i="27"/>
  <c r="O27" i="27"/>
  <c r="O17" i="27"/>
  <c r="O14" i="27"/>
  <c r="E43" i="28"/>
  <c r="C19" i="19" s="1"/>
  <c r="E26" i="28"/>
  <c r="M58" i="1" s="1"/>
  <c r="E15" i="28"/>
  <c r="G57" i="28"/>
  <c r="M20" i="27"/>
  <c r="O20" i="27" s="1"/>
  <c r="C19" i="26"/>
  <c r="G31" i="28"/>
  <c r="M16" i="27"/>
  <c r="O16" i="27" s="1"/>
  <c r="D56" i="28" l="1"/>
  <c r="C23" i="19"/>
  <c r="D48" i="28"/>
  <c r="M87" i="1"/>
  <c r="D43" i="28"/>
  <c r="M86" i="1"/>
  <c r="F6" i="28"/>
  <c r="G7" i="28"/>
  <c r="E6" i="28"/>
  <c r="E25" i="28"/>
  <c r="C15" i="19" s="1"/>
  <c r="G26" i="28"/>
  <c r="G6" i="28" l="1"/>
  <c r="G25" i="28"/>
  <c r="C20" i="24" l="1"/>
  <c r="G20" i="24" s="1"/>
  <c r="H20" i="24" s="1"/>
  <c r="B20" i="24"/>
  <c r="A20" i="24"/>
  <c r="C19" i="24"/>
  <c r="B19" i="24"/>
  <c r="A19" i="24"/>
  <c r="A18" i="24"/>
  <c r="C17" i="24"/>
  <c r="B17" i="24"/>
  <c r="N17" i="24" s="1"/>
  <c r="F27" i="1" s="1"/>
  <c r="G27" i="1" s="1"/>
  <c r="H27" i="1" s="1"/>
  <c r="C16" i="24"/>
  <c r="B16" i="24"/>
  <c r="A16" i="24"/>
  <c r="A15" i="24"/>
  <c r="C14" i="24"/>
  <c r="B14" i="24"/>
  <c r="A14" i="24"/>
  <c r="C13" i="24"/>
  <c r="G13" i="24" s="1"/>
  <c r="H13" i="24" s="1"/>
  <c r="B13" i="24"/>
  <c r="A13" i="24"/>
  <c r="C12" i="24"/>
  <c r="A12" i="24"/>
  <c r="C11" i="24"/>
  <c r="G11" i="24" s="1"/>
  <c r="H11" i="24" s="1"/>
  <c r="A11" i="24"/>
  <c r="A10" i="24"/>
  <c r="A9" i="24"/>
  <c r="A8" i="24"/>
  <c r="A7" i="24"/>
  <c r="F27" i="23"/>
  <c r="F69" i="25"/>
  <c r="G68" i="25"/>
  <c r="G67" i="25"/>
  <c r="E59" i="25"/>
  <c r="G59" i="25" s="1"/>
  <c r="E58" i="25"/>
  <c r="E57" i="25"/>
  <c r="E54" i="25"/>
  <c r="E52" i="25"/>
  <c r="D52" i="25" s="1"/>
  <c r="D51" i="25"/>
  <c r="E50" i="25"/>
  <c r="D50" i="25" s="1"/>
  <c r="E49" i="25"/>
  <c r="D49" i="25"/>
  <c r="E45" i="25"/>
  <c r="D44" i="25"/>
  <c r="E44" i="25" s="1"/>
  <c r="G37" i="25"/>
  <c r="F36" i="25"/>
  <c r="E36" i="25"/>
  <c r="E33" i="25"/>
  <c r="G33" i="25" s="1"/>
  <c r="E32" i="25"/>
  <c r="G32" i="25" s="1"/>
  <c r="F31" i="25"/>
  <c r="E30" i="25"/>
  <c r="G30" i="25" s="1"/>
  <c r="F29" i="25"/>
  <c r="D27" i="25"/>
  <c r="E27" i="25" s="1"/>
  <c r="D26" i="25"/>
  <c r="E26" i="25" s="1"/>
  <c r="F25" i="25"/>
  <c r="A17" i="25"/>
  <c r="C16" i="25"/>
  <c r="G15" i="25"/>
  <c r="C15" i="25"/>
  <c r="A15" i="25"/>
  <c r="G1" i="25"/>
  <c r="N31" i="24"/>
  <c r="M31" i="24"/>
  <c r="N29" i="24"/>
  <c r="M29" i="24"/>
  <c r="N28" i="24"/>
  <c r="M28" i="24"/>
  <c r="N27" i="24"/>
  <c r="M27" i="24"/>
  <c r="N20" i="24"/>
  <c r="F35" i="1" s="1"/>
  <c r="G35" i="1" s="1"/>
  <c r="H35" i="1" s="1"/>
  <c r="M20" i="24"/>
  <c r="N19" i="24"/>
  <c r="F31" i="1" s="1"/>
  <c r="G31" i="1" s="1"/>
  <c r="H31" i="1" s="1"/>
  <c r="G19" i="24"/>
  <c r="H19" i="24" s="1"/>
  <c r="M19" i="24"/>
  <c r="G17" i="24"/>
  <c r="H17" i="24" s="1"/>
  <c r="G16" i="24"/>
  <c r="H16" i="24" s="1"/>
  <c r="N16" i="24"/>
  <c r="F23" i="1" s="1"/>
  <c r="G23" i="1" s="1"/>
  <c r="H23" i="1" s="1"/>
  <c r="G14" i="24"/>
  <c r="H14" i="24" s="1"/>
  <c r="N14" i="24"/>
  <c r="M13" i="24"/>
  <c r="G9" i="24"/>
  <c r="H9" i="24" s="1"/>
  <c r="H43" i="23"/>
  <c r="D43" i="23"/>
  <c r="E43" i="23" s="1"/>
  <c r="A43" i="23"/>
  <c r="A48" i="23" s="1"/>
  <c r="A42" i="23"/>
  <c r="A47" i="23" s="1"/>
  <c r="B41" i="23"/>
  <c r="C18" i="23"/>
  <c r="C20" i="23" s="1"/>
  <c r="E8" i="25"/>
  <c r="G8" i="25" s="1"/>
  <c r="E56" i="25" l="1"/>
  <c r="E16" i="25"/>
  <c r="F16" i="25" s="1"/>
  <c r="F15" i="25" s="1"/>
  <c r="O27" i="24"/>
  <c r="O28" i="24"/>
  <c r="O29" i="24"/>
  <c r="O31" i="24"/>
  <c r="G27" i="25"/>
  <c r="G59" i="1"/>
  <c r="G107" i="1"/>
  <c r="D56" i="25"/>
  <c r="G109" i="1"/>
  <c r="D25" i="25"/>
  <c r="D36" i="25"/>
  <c r="G94" i="1"/>
  <c r="G58" i="1"/>
  <c r="O20" i="24"/>
  <c r="O19" i="24"/>
  <c r="E25" i="25"/>
  <c r="G26" i="25"/>
  <c r="E43" i="25"/>
  <c r="G29" i="25"/>
  <c r="G31" i="25"/>
  <c r="N13" i="24"/>
  <c r="F15" i="1" s="1"/>
  <c r="G15" i="1" s="1"/>
  <c r="H15" i="1" s="1"/>
  <c r="M14" i="24"/>
  <c r="O14" i="24" s="1"/>
  <c r="G36" i="25"/>
  <c r="C19" i="23"/>
  <c r="E29" i="25"/>
  <c r="E31" i="25"/>
  <c r="G57" i="25"/>
  <c r="M16" i="24"/>
  <c r="O16" i="24" s="1"/>
  <c r="E7" i="25"/>
  <c r="E48" i="25"/>
  <c r="M17" i="24"/>
  <c r="O17" i="24" s="1"/>
  <c r="E15" i="25" l="1"/>
  <c r="O13" i="24"/>
  <c r="D29" i="25"/>
  <c r="G106" i="1"/>
  <c r="D48" i="25"/>
  <c r="G87" i="1"/>
  <c r="D43" i="25"/>
  <c r="G86" i="1"/>
  <c r="D31" i="25"/>
  <c r="G85" i="1"/>
  <c r="F7" i="25"/>
  <c r="F6" i="25" s="1"/>
  <c r="E6" i="25"/>
  <c r="G25" i="25"/>
  <c r="G7" i="25" l="1"/>
  <c r="G6" i="25"/>
  <c r="D7" i="14" l="1"/>
  <c r="D6" i="14"/>
  <c r="C8" i="16"/>
  <c r="C7" i="14"/>
  <c r="C6" i="14"/>
  <c r="C9" i="27" l="1"/>
  <c r="C9" i="24"/>
  <c r="B9" i="27"/>
  <c r="B9" i="24"/>
  <c r="B8" i="27"/>
  <c r="B8" i="24"/>
  <c r="C8" i="27"/>
  <c r="G8" i="27" s="1"/>
  <c r="C8" i="24"/>
  <c r="G8" i="24" s="1"/>
  <c r="E17" i="11"/>
  <c r="F17" i="11"/>
  <c r="G17" i="11"/>
  <c r="H17" i="11"/>
  <c r="I17" i="11"/>
  <c r="J17" i="11"/>
  <c r="K17" i="11"/>
  <c r="L17" i="11"/>
  <c r="M17" i="11"/>
  <c r="N17" i="11"/>
  <c r="O17" i="11"/>
  <c r="P17" i="11"/>
  <c r="Q17" i="11"/>
  <c r="D17" i="11"/>
  <c r="R112" i="1"/>
  <c r="N112" i="1"/>
  <c r="E32" i="18"/>
  <c r="F32" i="18"/>
  <c r="E49" i="17"/>
  <c r="E52" i="17"/>
  <c r="E50" i="17"/>
  <c r="D44" i="17"/>
  <c r="D27" i="17"/>
  <c r="D26" i="17"/>
  <c r="H8" i="24" l="1"/>
  <c r="G33" i="24"/>
  <c r="H8" i="27"/>
  <c r="G33" i="27"/>
  <c r="N8" i="24"/>
  <c r="F7" i="1" s="1"/>
  <c r="G7" i="1" s="1"/>
  <c r="H7" i="1" s="1"/>
  <c r="M8" i="24"/>
  <c r="M8" i="27"/>
  <c r="N8" i="27"/>
  <c r="M7" i="1" s="1"/>
  <c r="N7" i="1" s="1"/>
  <c r="O7" i="1" s="1"/>
  <c r="P7" i="1" s="1"/>
  <c r="Q7" i="1" s="1"/>
  <c r="R7" i="1" s="1"/>
  <c r="N9" i="24"/>
  <c r="M9" i="24"/>
  <c r="N9" i="27"/>
  <c r="M9" i="27"/>
  <c r="T50" i="18"/>
  <c r="C2" i="21"/>
  <c r="A2" i="21"/>
  <c r="D7" i="21"/>
  <c r="D4" i="21"/>
  <c r="A5" i="21"/>
  <c r="A6" i="21"/>
  <c r="A7" i="21"/>
  <c r="A4" i="21"/>
  <c r="A29" i="19"/>
  <c r="B94" i="1"/>
  <c r="O9" i="24" l="1"/>
  <c r="O8" i="27"/>
  <c r="O8" i="24"/>
  <c r="O9" i="27"/>
  <c r="H33" i="27"/>
  <c r="M36" i="21" s="1"/>
  <c r="H33" i="24"/>
  <c r="D28" i="2"/>
  <c r="F39" i="2"/>
  <c r="F31" i="2"/>
  <c r="V13" i="18"/>
  <c r="V14" i="18"/>
  <c r="W14" i="18"/>
  <c r="V15" i="18"/>
  <c r="W15" i="18"/>
  <c r="V16" i="18"/>
  <c r="W16" i="18"/>
  <c r="X16" i="18"/>
  <c r="B8" i="18"/>
  <c r="G8" i="18" s="1"/>
  <c r="H8" i="18" s="1"/>
  <c r="I8" i="18" s="1"/>
  <c r="B30" i="20"/>
  <c r="C30" i="20" s="1"/>
  <c r="D30" i="20" s="1"/>
  <c r="E30" i="20" s="1"/>
  <c r="F30" i="20" s="1"/>
  <c r="H7" i="18"/>
  <c r="I7" i="18"/>
  <c r="J7" i="18"/>
  <c r="K7" i="18"/>
  <c r="L7" i="18"/>
  <c r="M7" i="18"/>
  <c r="N7" i="18"/>
  <c r="O7" i="18"/>
  <c r="G7" i="18"/>
  <c r="J18" i="20"/>
  <c r="J16" i="20"/>
  <c r="B21" i="20"/>
  <c r="C21" i="20" s="1"/>
  <c r="D21" i="20" s="1"/>
  <c r="E21" i="20" s="1"/>
  <c r="F21" i="20" s="1"/>
  <c r="A12" i="20"/>
  <c r="A18" i="20" s="1"/>
  <c r="A21" i="20" s="1"/>
  <c r="A24" i="20" s="1"/>
  <c r="A27" i="20" s="1"/>
  <c r="A30" i="20" s="1"/>
  <c r="I8" i="24" l="1"/>
  <c r="K36" i="21"/>
  <c r="C6" i="19"/>
  <c r="I19" i="27"/>
  <c r="I13" i="27"/>
  <c r="I14" i="27"/>
  <c r="I20" i="27"/>
  <c r="I9" i="27"/>
  <c r="I17" i="27"/>
  <c r="I11" i="27"/>
  <c r="I16" i="27"/>
  <c r="I16" i="24"/>
  <c r="I17" i="24"/>
  <c r="I20" i="24"/>
  <c r="I9" i="24"/>
  <c r="I19" i="24"/>
  <c r="I11" i="24"/>
  <c r="I14" i="24"/>
  <c r="I13" i="24"/>
  <c r="I8" i="27"/>
  <c r="A37" i="18"/>
  <c r="A41" i="18" s="1"/>
  <c r="G9" i="18"/>
  <c r="H9" i="18"/>
  <c r="P7" i="18"/>
  <c r="J8" i="18"/>
  <c r="I9" i="18"/>
  <c r="B33" i="19"/>
  <c r="A32" i="19"/>
  <c r="A33" i="19"/>
  <c r="A23" i="19"/>
  <c r="A22" i="19"/>
  <c r="A21" i="19"/>
  <c r="A20" i="19"/>
  <c r="A19" i="19"/>
  <c r="A18" i="19"/>
  <c r="A17" i="19"/>
  <c r="A16" i="19"/>
  <c r="A15" i="19"/>
  <c r="A14" i="19"/>
  <c r="A7" i="19"/>
  <c r="A6" i="19"/>
  <c r="B32" i="19"/>
  <c r="G67" i="17"/>
  <c r="F69" i="17"/>
  <c r="G68" i="17"/>
  <c r="E59" i="17"/>
  <c r="G59" i="17" s="1"/>
  <c r="E58" i="17"/>
  <c r="E57" i="17"/>
  <c r="D52" i="17"/>
  <c r="D51" i="17"/>
  <c r="D50" i="17"/>
  <c r="D49" i="17"/>
  <c r="E45" i="17"/>
  <c r="E44" i="17"/>
  <c r="G37" i="17"/>
  <c r="G36" i="17" s="1"/>
  <c r="F36" i="17"/>
  <c r="E36" i="17"/>
  <c r="E33" i="17"/>
  <c r="G33" i="17" s="1"/>
  <c r="E32" i="17"/>
  <c r="F31" i="17"/>
  <c r="E30" i="17"/>
  <c r="G30" i="17" s="1"/>
  <c r="F29" i="17"/>
  <c r="E27" i="17"/>
  <c r="F25" i="17"/>
  <c r="A17" i="17"/>
  <c r="G15" i="17"/>
  <c r="A15" i="17"/>
  <c r="C20" i="16"/>
  <c r="G20" i="16" s="1"/>
  <c r="B20" i="16"/>
  <c r="A20" i="16"/>
  <c r="C19" i="16"/>
  <c r="B19" i="16"/>
  <c r="A19" i="16"/>
  <c r="A18" i="16"/>
  <c r="C17" i="16"/>
  <c r="B17" i="16"/>
  <c r="A17" i="16"/>
  <c r="C16" i="16"/>
  <c r="B16" i="16"/>
  <c r="A16" i="16"/>
  <c r="A15" i="16"/>
  <c r="C14" i="16"/>
  <c r="B14" i="16"/>
  <c r="A14" i="16"/>
  <c r="C13" i="16"/>
  <c r="B13" i="16"/>
  <c r="A13" i="16"/>
  <c r="C12" i="16"/>
  <c r="A12" i="16"/>
  <c r="C11" i="16"/>
  <c r="A11" i="16"/>
  <c r="A10" i="16"/>
  <c r="C9" i="16"/>
  <c r="B9" i="16"/>
  <c r="A9" i="16"/>
  <c r="B8" i="16"/>
  <c r="A8" i="16"/>
  <c r="A7" i="16"/>
  <c r="E31" i="17" l="1"/>
  <c r="I85" i="1" s="1"/>
  <c r="D36" i="17"/>
  <c r="I94" i="1"/>
  <c r="G27" i="17"/>
  <c r="I59" i="1"/>
  <c r="B17" i="19"/>
  <c r="E48" i="17"/>
  <c r="G10" i="18"/>
  <c r="G6" i="18" s="1"/>
  <c r="B18" i="19"/>
  <c r="D25" i="17"/>
  <c r="E56" i="17"/>
  <c r="I109" i="1" s="1"/>
  <c r="G32" i="17"/>
  <c r="G31" i="17" s="1"/>
  <c r="E26" i="17"/>
  <c r="G57" i="17"/>
  <c r="E29" i="17"/>
  <c r="I106" i="1" s="1"/>
  <c r="J13" i="18"/>
  <c r="P15" i="18"/>
  <c r="X15" i="18" s="1"/>
  <c r="Q16" i="18"/>
  <c r="G12" i="18"/>
  <c r="O15" i="18"/>
  <c r="L14" i="18"/>
  <c r="H12" i="18"/>
  <c r="N14" i="18"/>
  <c r="K13" i="18"/>
  <c r="W13" i="18" s="1"/>
  <c r="L13" i="18"/>
  <c r="R16" i="18"/>
  <c r="I12" i="18"/>
  <c r="V12" i="18" s="1"/>
  <c r="Q15" i="18"/>
  <c r="M14" i="18"/>
  <c r="S16" i="18"/>
  <c r="Y16" i="18" s="1"/>
  <c r="Q7" i="18"/>
  <c r="K8" i="18"/>
  <c r="J9" i="18"/>
  <c r="J12" i="18" s="1"/>
  <c r="G29" i="17"/>
  <c r="E43" i="17"/>
  <c r="I86" i="1" s="1"/>
  <c r="N20" i="16"/>
  <c r="I35" i="1" s="1"/>
  <c r="J35" i="1" s="1"/>
  <c r="K35" i="1" s="1"/>
  <c r="L35" i="1" s="1"/>
  <c r="H20" i="16"/>
  <c r="M20" i="16"/>
  <c r="G19" i="16"/>
  <c r="H19" i="16" s="1"/>
  <c r="N19" i="16"/>
  <c r="I31" i="1" s="1"/>
  <c r="J31" i="1" s="1"/>
  <c r="K31" i="1" s="1"/>
  <c r="L31" i="1" s="1"/>
  <c r="N17" i="16"/>
  <c r="I27" i="1" s="1"/>
  <c r="J27" i="1" s="1"/>
  <c r="K27" i="1" s="1"/>
  <c r="L27" i="1" s="1"/>
  <c r="M17" i="16"/>
  <c r="G17" i="16"/>
  <c r="H17" i="16" s="1"/>
  <c r="N16" i="16"/>
  <c r="I23" i="1" s="1"/>
  <c r="J23" i="1" s="1"/>
  <c r="K23" i="1" s="1"/>
  <c r="L23" i="1" s="1"/>
  <c r="M16" i="16"/>
  <c r="G16" i="16"/>
  <c r="H16" i="16" s="1"/>
  <c r="G14" i="16"/>
  <c r="H14" i="16" s="1"/>
  <c r="N14" i="16"/>
  <c r="M13" i="16"/>
  <c r="G13" i="16"/>
  <c r="H13" i="16" s="1"/>
  <c r="N13" i="16"/>
  <c r="I15" i="1" s="1"/>
  <c r="J15" i="1" s="1"/>
  <c r="K15" i="1" s="1"/>
  <c r="L15" i="1" s="1"/>
  <c r="G11" i="16"/>
  <c r="H11" i="16" s="1"/>
  <c r="M9" i="16"/>
  <c r="G9" i="16"/>
  <c r="H9" i="16" s="1"/>
  <c r="N9" i="16"/>
  <c r="M8" i="16"/>
  <c r="G8" i="16"/>
  <c r="N8" i="16"/>
  <c r="I7" i="1" s="1"/>
  <c r="J7" i="1" s="1"/>
  <c r="K7" i="1" s="1"/>
  <c r="L7" i="1" s="1"/>
  <c r="F27" i="15"/>
  <c r="H43" i="15"/>
  <c r="D43" i="15"/>
  <c r="E43" i="15" s="1"/>
  <c r="A43" i="15"/>
  <c r="A48" i="15" s="1"/>
  <c r="A42" i="15"/>
  <c r="A47" i="15" s="1"/>
  <c r="B41" i="15"/>
  <c r="C18" i="15"/>
  <c r="C20" i="15" s="1"/>
  <c r="D42" i="14"/>
  <c r="C42" i="14"/>
  <c r="D39" i="14"/>
  <c r="C39" i="14"/>
  <c r="D38" i="14"/>
  <c r="C38" i="14"/>
  <c r="D37" i="14"/>
  <c r="B32" i="14"/>
  <c r="B31" i="14"/>
  <c r="B30" i="14"/>
  <c r="D29" i="14"/>
  <c r="C29" i="14"/>
  <c r="B28" i="14"/>
  <c r="B27" i="14"/>
  <c r="B26" i="14"/>
  <c r="B39" i="14" s="1"/>
  <c r="B25" i="14"/>
  <c r="D24" i="14"/>
  <c r="C24" i="14"/>
  <c r="B22" i="14"/>
  <c r="B21" i="14"/>
  <c r="B20" i="14"/>
  <c r="D19" i="14"/>
  <c r="C19" i="14"/>
  <c r="B18" i="14"/>
  <c r="B17" i="14"/>
  <c r="B16" i="14"/>
  <c r="B15" i="14"/>
  <c r="C14" i="14"/>
  <c r="B12" i="14"/>
  <c r="C11" i="14"/>
  <c r="D10" i="14"/>
  <c r="B8" i="14"/>
  <c r="B7" i="14"/>
  <c r="B6" i="14"/>
  <c r="D5" i="14"/>
  <c r="C5" i="14"/>
  <c r="D31" i="17" l="1"/>
  <c r="C7" i="27"/>
  <c r="C7" i="24"/>
  <c r="C18" i="16"/>
  <c r="C18" i="27"/>
  <c r="C18" i="24"/>
  <c r="C10" i="16"/>
  <c r="C10" i="27"/>
  <c r="C10" i="24"/>
  <c r="B15" i="16"/>
  <c r="B15" i="27"/>
  <c r="B15" i="24"/>
  <c r="B18" i="16"/>
  <c r="B18" i="27"/>
  <c r="B18" i="24"/>
  <c r="C15" i="16"/>
  <c r="C15" i="27"/>
  <c r="C15" i="24"/>
  <c r="B7" i="16"/>
  <c r="B7" i="27"/>
  <c r="B7" i="24"/>
  <c r="B12" i="16"/>
  <c r="B12" i="27"/>
  <c r="B12" i="24"/>
  <c r="B38" i="14"/>
  <c r="C37" i="14"/>
  <c r="B11" i="27"/>
  <c r="B11" i="24"/>
  <c r="G27" i="15"/>
  <c r="G27" i="26"/>
  <c r="G27" i="23"/>
  <c r="H10" i="18"/>
  <c r="H6" i="18" s="1"/>
  <c r="D48" i="17"/>
  <c r="I87" i="1"/>
  <c r="G26" i="17"/>
  <c r="G25" i="17" s="1"/>
  <c r="I58" i="1"/>
  <c r="B5" i="14"/>
  <c r="B20" i="19"/>
  <c r="B11" i="14"/>
  <c r="D43" i="14"/>
  <c r="H64" i="14"/>
  <c r="B23" i="19"/>
  <c r="D56" i="17"/>
  <c r="B24" i="14"/>
  <c r="B19" i="19"/>
  <c r="D43" i="17"/>
  <c r="B37" i="14"/>
  <c r="G41" i="18"/>
  <c r="C10" i="14"/>
  <c r="B11" i="16"/>
  <c r="B14" i="14"/>
  <c r="O20" i="16"/>
  <c r="D36" i="14"/>
  <c r="C7" i="16"/>
  <c r="B29" i="14"/>
  <c r="O16" i="16"/>
  <c r="E25" i="17"/>
  <c r="B15" i="19" s="1"/>
  <c r="B16" i="19"/>
  <c r="D29" i="17"/>
  <c r="G18" i="18"/>
  <c r="G45" i="18" s="1"/>
  <c r="G20" i="18"/>
  <c r="G22" i="18"/>
  <c r="G21" i="18"/>
  <c r="G37" i="18" s="1"/>
  <c r="G36" i="18" s="1"/>
  <c r="G19" i="18"/>
  <c r="G46" i="18" s="1"/>
  <c r="I10" i="18"/>
  <c r="J10" i="18" s="1"/>
  <c r="J41" i="18" s="1"/>
  <c r="H18" i="18"/>
  <c r="H45" i="18" s="1"/>
  <c r="H20" i="18"/>
  <c r="H19" i="18"/>
  <c r="H46" i="18" s="1"/>
  <c r="H22" i="18"/>
  <c r="H21" i="18"/>
  <c r="H37" i="18" s="1"/>
  <c r="R15" i="18"/>
  <c r="I21" i="18"/>
  <c r="I37" i="18" s="1"/>
  <c r="I18" i="18"/>
  <c r="I20" i="18"/>
  <c r="I19" i="18"/>
  <c r="I46" i="18" s="1"/>
  <c r="I22" i="18"/>
  <c r="O14" i="18"/>
  <c r="M13" i="18"/>
  <c r="J21" i="18"/>
  <c r="J37" i="18" s="1"/>
  <c r="J22" i="18"/>
  <c r="J18" i="18"/>
  <c r="J45" i="18" s="1"/>
  <c r="J20" i="18"/>
  <c r="J19" i="18"/>
  <c r="J46" i="18" s="1"/>
  <c r="R7" i="18"/>
  <c r="L8" i="18"/>
  <c r="K9" i="18"/>
  <c r="O8" i="16"/>
  <c r="O17" i="16"/>
  <c r="O13" i="16"/>
  <c r="O9" i="16"/>
  <c r="G33" i="16"/>
  <c r="H8" i="16"/>
  <c r="M14" i="16"/>
  <c r="O14" i="16" s="1"/>
  <c r="M19" i="16"/>
  <c r="O19" i="16" s="1"/>
  <c r="C19" i="15"/>
  <c r="E42" i="14"/>
  <c r="C43" i="14"/>
  <c r="E43" i="14" s="1"/>
  <c r="B19" i="14"/>
  <c r="B42" i="14"/>
  <c r="H41" i="18" l="1"/>
  <c r="H40" i="18" s="1"/>
  <c r="B10" i="27"/>
  <c r="B10" i="24"/>
  <c r="B43" i="14"/>
  <c r="M11" i="24"/>
  <c r="N11" i="24"/>
  <c r="N11" i="27"/>
  <c r="M11" i="27"/>
  <c r="C36" i="14"/>
  <c r="E38" i="14" s="1"/>
  <c r="G27" i="18"/>
  <c r="G34" i="18" s="1"/>
  <c r="G47" i="18"/>
  <c r="I27" i="18"/>
  <c r="I34" i="18" s="1"/>
  <c r="I47" i="18"/>
  <c r="V18" i="18"/>
  <c r="I45" i="18"/>
  <c r="J27" i="18"/>
  <c r="J34" i="18" s="1"/>
  <c r="J47" i="18"/>
  <c r="H27" i="18"/>
  <c r="H34" i="18" s="1"/>
  <c r="H47" i="18"/>
  <c r="B6" i="19"/>
  <c r="J36" i="18"/>
  <c r="N11" i="16"/>
  <c r="M11" i="16"/>
  <c r="M33" i="16" s="1"/>
  <c r="B10" i="14"/>
  <c r="B36" i="14" s="1"/>
  <c r="B10" i="16"/>
  <c r="I6" i="18"/>
  <c r="G24" i="18"/>
  <c r="G32" i="18" s="1"/>
  <c r="I36" i="18"/>
  <c r="H36" i="18"/>
  <c r="V10" i="18"/>
  <c r="I41" i="18"/>
  <c r="J40" i="18"/>
  <c r="K12" i="18"/>
  <c r="W12" i="18" s="1"/>
  <c r="P14" i="18"/>
  <c r="X14" i="18" s="1"/>
  <c r="N13" i="18"/>
  <c r="M8" i="18"/>
  <c r="L9" i="18"/>
  <c r="L12" i="18" s="1"/>
  <c r="K10" i="18"/>
  <c r="J6" i="18"/>
  <c r="S7" i="18"/>
  <c r="T7" i="18" s="1"/>
  <c r="H33" i="16"/>
  <c r="L36" i="21" s="1"/>
  <c r="N33" i="16" l="1"/>
  <c r="N34" i="16" s="1"/>
  <c r="C28" i="21" s="1"/>
  <c r="F35" i="21" s="1"/>
  <c r="I11" i="1"/>
  <c r="J11" i="1" s="1"/>
  <c r="K11" i="1" s="1"/>
  <c r="L11" i="1" s="1"/>
  <c r="N33" i="27"/>
  <c r="D27" i="26" s="1"/>
  <c r="D28" i="26" s="1"/>
  <c r="M11" i="1"/>
  <c r="N11" i="1" s="1"/>
  <c r="O11" i="1" s="1"/>
  <c r="P11" i="1" s="1"/>
  <c r="Q11" i="1" s="1"/>
  <c r="R11" i="1" s="1"/>
  <c r="E37" i="14"/>
  <c r="N33" i="24"/>
  <c r="D27" i="23" s="1"/>
  <c r="F11" i="1"/>
  <c r="G11" i="1" s="1"/>
  <c r="H11" i="1" s="1"/>
  <c r="C27" i="15"/>
  <c r="C28" i="15" s="1"/>
  <c r="C35" i="26"/>
  <c r="C35" i="23"/>
  <c r="O11" i="27"/>
  <c r="O33" i="27" s="1"/>
  <c r="M33" i="27"/>
  <c r="N34" i="27" s="1"/>
  <c r="D28" i="21" s="1"/>
  <c r="H35" i="21" s="1"/>
  <c r="O11" i="24"/>
  <c r="O33" i="24" s="1"/>
  <c r="M33" i="24"/>
  <c r="N34" i="24" s="1"/>
  <c r="B28" i="21" s="1"/>
  <c r="D35" i="21" s="1"/>
  <c r="C27" i="26"/>
  <c r="C27" i="23"/>
  <c r="O11" i="16"/>
  <c r="O33" i="16" s="1"/>
  <c r="O34" i="16" s="1"/>
  <c r="I40" i="18"/>
  <c r="I8" i="16"/>
  <c r="W10" i="18"/>
  <c r="K41" i="18"/>
  <c r="Q14" i="18"/>
  <c r="O13" i="18"/>
  <c r="L20" i="18"/>
  <c r="L19" i="18"/>
  <c r="L46" i="18" s="1"/>
  <c r="L21" i="18"/>
  <c r="L37" i="18" s="1"/>
  <c r="L22" i="18"/>
  <c r="L18" i="18"/>
  <c r="L45" i="18" s="1"/>
  <c r="K22" i="18"/>
  <c r="K18" i="18"/>
  <c r="K21" i="18"/>
  <c r="K37" i="18" s="1"/>
  <c r="K20" i="18"/>
  <c r="K19" i="18"/>
  <c r="K46" i="18" s="1"/>
  <c r="S15" i="18"/>
  <c r="Y15" i="18" s="1"/>
  <c r="L10" i="18"/>
  <c r="L41" i="18" s="1"/>
  <c r="K6" i="18"/>
  <c r="N8" i="18"/>
  <c r="M9" i="18"/>
  <c r="P13" i="18" s="1"/>
  <c r="X13" i="18" s="1"/>
  <c r="I11" i="16"/>
  <c r="I13" i="16"/>
  <c r="I14" i="16"/>
  <c r="I20" i="16"/>
  <c r="I9" i="16"/>
  <c r="I19" i="16"/>
  <c r="I16" i="16"/>
  <c r="I17" i="16"/>
  <c r="G28" i="15" l="1"/>
  <c r="F28" i="15"/>
  <c r="E27" i="23"/>
  <c r="E28" i="23" s="1"/>
  <c r="O34" i="24"/>
  <c r="D35" i="23"/>
  <c r="D37" i="23" s="1"/>
  <c r="C48" i="23"/>
  <c r="C49" i="23" s="1"/>
  <c r="C37" i="23"/>
  <c r="D28" i="23"/>
  <c r="D35" i="26"/>
  <c r="E35" i="26" s="1"/>
  <c r="O34" i="27"/>
  <c r="E27" i="26"/>
  <c r="E28" i="26" s="1"/>
  <c r="C28" i="23"/>
  <c r="F28" i="23"/>
  <c r="G28" i="23"/>
  <c r="F28" i="26"/>
  <c r="C28" i="26"/>
  <c r="G28" i="26"/>
  <c r="C48" i="26"/>
  <c r="C49" i="26" s="1"/>
  <c r="C37" i="26"/>
  <c r="W18" i="18"/>
  <c r="K45" i="18"/>
  <c r="K27" i="18"/>
  <c r="K34" i="18" s="1"/>
  <c r="K47" i="18"/>
  <c r="L27" i="18"/>
  <c r="L34" i="18" s="1"/>
  <c r="L47" i="18"/>
  <c r="K40" i="18"/>
  <c r="L36" i="18"/>
  <c r="G6" i="19"/>
  <c r="K36" i="18"/>
  <c r="L40" i="18"/>
  <c r="R14" i="18"/>
  <c r="M12" i="18"/>
  <c r="O8" i="18"/>
  <c r="N9" i="18"/>
  <c r="Q13" i="18" s="1"/>
  <c r="M10" i="18"/>
  <c r="M41" i="18" s="1"/>
  <c r="L6" i="18"/>
  <c r="E35" i="23" l="1"/>
  <c r="C36" i="23" s="1"/>
  <c r="E10" i="25" s="1"/>
  <c r="C22" i="28"/>
  <c r="C21" i="28"/>
  <c r="C22" i="25"/>
  <c r="C21" i="25"/>
  <c r="E36" i="26"/>
  <c r="E37" i="26"/>
  <c r="C38" i="26" s="1"/>
  <c r="C36" i="26"/>
  <c r="D37" i="26"/>
  <c r="D36" i="26"/>
  <c r="M40" i="18"/>
  <c r="N12" i="18"/>
  <c r="M18" i="18"/>
  <c r="M45" i="18" s="1"/>
  <c r="M19" i="18"/>
  <c r="M46" i="18" s="1"/>
  <c r="M21" i="18"/>
  <c r="M37" i="18" s="1"/>
  <c r="M22" i="18"/>
  <c r="M20" i="18"/>
  <c r="S14" i="18"/>
  <c r="Y14" i="18" s="1"/>
  <c r="N10" i="18"/>
  <c r="N41" i="18" s="1"/>
  <c r="M6" i="18"/>
  <c r="P8" i="18"/>
  <c r="O9" i="18"/>
  <c r="R13" i="18" s="1"/>
  <c r="G40" i="18"/>
  <c r="AC86" i="18"/>
  <c r="AC85" i="18" s="1"/>
  <c r="AA85" i="18"/>
  <c r="AA83" i="18"/>
  <c r="AA84" i="18" s="1"/>
  <c r="AA82" i="18"/>
  <c r="AC82" i="18" s="1"/>
  <c r="AB81" i="18"/>
  <c r="Z81" i="18"/>
  <c r="F60" i="18"/>
  <c r="F26" i="18"/>
  <c r="E26" i="18"/>
  <c r="E36" i="23" l="1"/>
  <c r="E37" i="23"/>
  <c r="C38" i="23" s="1"/>
  <c r="D36" i="23"/>
  <c r="C20" i="28"/>
  <c r="E20" i="28" s="1"/>
  <c r="C18" i="25"/>
  <c r="E18" i="25" s="1"/>
  <c r="F18" i="25" s="1"/>
  <c r="F17" i="25" s="1"/>
  <c r="F14" i="25" s="1"/>
  <c r="H40" i="24" s="1"/>
  <c r="C20" i="25"/>
  <c r="E20" i="25" s="1"/>
  <c r="F45" i="25"/>
  <c r="F52" i="25"/>
  <c r="F50" i="25"/>
  <c r="F49" i="25"/>
  <c r="F54" i="25"/>
  <c r="H44" i="24" s="1"/>
  <c r="F51" i="25"/>
  <c r="F44" i="25"/>
  <c r="F58" i="25"/>
  <c r="F56" i="25" s="1"/>
  <c r="H45" i="24" s="1"/>
  <c r="D38" i="23"/>
  <c r="G20" i="25" s="1"/>
  <c r="E38" i="23"/>
  <c r="C18" i="28"/>
  <c r="F51" i="28"/>
  <c r="F50" i="28"/>
  <c r="F49" i="28"/>
  <c r="F44" i="28"/>
  <c r="F45" i="28"/>
  <c r="F58" i="28"/>
  <c r="F56" i="28" s="1"/>
  <c r="H45" i="27" s="1"/>
  <c r="F52" i="28"/>
  <c r="F54" i="28"/>
  <c r="H44" i="27" s="1"/>
  <c r="D38" i="26"/>
  <c r="E38" i="26"/>
  <c r="C19" i="25"/>
  <c r="M84" i="1"/>
  <c r="F20" i="28"/>
  <c r="F25" i="18"/>
  <c r="F33" i="18"/>
  <c r="E11" i="28"/>
  <c r="G11" i="28" s="1"/>
  <c r="C19" i="28"/>
  <c r="E19" i="28" s="1"/>
  <c r="G19" i="28" s="1"/>
  <c r="F10" i="25"/>
  <c r="F9" i="25" s="1"/>
  <c r="F5" i="25" s="1"/>
  <c r="H39" i="24" s="1"/>
  <c r="E25" i="18"/>
  <c r="E33" i="18"/>
  <c r="M27" i="18"/>
  <c r="M34" i="18" s="1"/>
  <c r="M47" i="18"/>
  <c r="M36" i="18"/>
  <c r="N40" i="18"/>
  <c r="O12" i="18"/>
  <c r="N20" i="18"/>
  <c r="N21" i="18"/>
  <c r="N37" i="18" s="1"/>
  <c r="N18" i="18"/>
  <c r="N45" i="18" s="1"/>
  <c r="N19" i="18"/>
  <c r="N46" i="18" s="1"/>
  <c r="N22" i="18"/>
  <c r="N23" i="18" s="1"/>
  <c r="N31" i="18" s="1"/>
  <c r="Q8" i="18"/>
  <c r="P9" i="18"/>
  <c r="P12" i="18" s="1"/>
  <c r="X12" i="18" s="1"/>
  <c r="O10" i="18"/>
  <c r="O41" i="18" s="1"/>
  <c r="N6" i="18"/>
  <c r="V37" i="18"/>
  <c r="W42" i="18"/>
  <c r="K24" i="18"/>
  <c r="K32" i="18" s="1"/>
  <c r="J23" i="18"/>
  <c r="J31" i="18" s="1"/>
  <c r="L23" i="18"/>
  <c r="L31" i="18" s="1"/>
  <c r="V6" i="18"/>
  <c r="W6" i="18"/>
  <c r="V41" i="18"/>
  <c r="W37" i="18"/>
  <c r="W21" i="18"/>
  <c r="E22" i="18"/>
  <c r="V21" i="18"/>
  <c r="F22" i="18"/>
  <c r="F31" i="18" s="1"/>
  <c r="G60" i="18"/>
  <c r="AC83" i="18"/>
  <c r="AC84" i="18" s="1"/>
  <c r="G84" i="1" l="1"/>
  <c r="F20" i="25"/>
  <c r="F4" i="25" s="1"/>
  <c r="F48" i="28"/>
  <c r="H43" i="27" s="1"/>
  <c r="G43" i="27" s="1"/>
  <c r="F43" i="25"/>
  <c r="H42" i="24" s="1"/>
  <c r="G42" i="24" s="1"/>
  <c r="G40" i="24"/>
  <c r="G58" i="28"/>
  <c r="G45" i="28"/>
  <c r="G49" i="28"/>
  <c r="G54" i="28"/>
  <c r="G52" i="28"/>
  <c r="G51" i="28"/>
  <c r="G50" i="28"/>
  <c r="G44" i="28"/>
  <c r="G44" i="24"/>
  <c r="E18" i="28"/>
  <c r="C17" i="28"/>
  <c r="C14" i="28" s="1"/>
  <c r="F48" i="25"/>
  <c r="H43" i="24" s="1"/>
  <c r="E11" i="25"/>
  <c r="G44" i="27"/>
  <c r="H41" i="27"/>
  <c r="E10" i="28"/>
  <c r="G17" i="28"/>
  <c r="G20" i="28"/>
  <c r="G45" i="27"/>
  <c r="G10" i="25"/>
  <c r="G54" i="25"/>
  <c r="G58" i="25"/>
  <c r="G51" i="25"/>
  <c r="G52" i="25"/>
  <c r="G49" i="25"/>
  <c r="G44" i="25"/>
  <c r="G45" i="25"/>
  <c r="G50" i="25"/>
  <c r="G39" i="24"/>
  <c r="E19" i="25"/>
  <c r="C17" i="25"/>
  <c r="C14" i="25" s="1"/>
  <c r="F43" i="28"/>
  <c r="H42" i="27" s="1"/>
  <c r="G42" i="27" s="1"/>
  <c r="G45" i="24"/>
  <c r="H41" i="24"/>
  <c r="N27" i="18"/>
  <c r="N34" i="18" s="1"/>
  <c r="N47" i="18"/>
  <c r="N36" i="18"/>
  <c r="O20" i="18"/>
  <c r="O40" i="18"/>
  <c r="S13" i="18"/>
  <c r="Y13" i="18" s="1"/>
  <c r="O22" i="18"/>
  <c r="O21" i="18"/>
  <c r="O37" i="18" s="1"/>
  <c r="O18" i="18"/>
  <c r="O45" i="18" s="1"/>
  <c r="O19" i="18"/>
  <c r="O46" i="18" s="1"/>
  <c r="P18" i="18"/>
  <c r="P20" i="18"/>
  <c r="P19" i="18"/>
  <c r="P46" i="18" s="1"/>
  <c r="P22" i="18"/>
  <c r="P21" i="18"/>
  <c r="P37" i="18" s="1"/>
  <c r="P10" i="18"/>
  <c r="O6" i="18"/>
  <c r="R8" i="18"/>
  <c r="Q9" i="18"/>
  <c r="Q12" i="18" s="1"/>
  <c r="K23" i="18"/>
  <c r="K31" i="18" s="1"/>
  <c r="V42" i="18"/>
  <c r="V40" i="18" s="1"/>
  <c r="V38" i="18"/>
  <c r="K26" i="18"/>
  <c r="K33" i="18" s="1"/>
  <c r="L24" i="18"/>
  <c r="L32" i="18" s="1"/>
  <c r="J24" i="18"/>
  <c r="J32" i="18" s="1"/>
  <c r="N24" i="18"/>
  <c r="N32" i="18" s="1"/>
  <c r="H60" i="18"/>
  <c r="F27" i="18"/>
  <c r="F34" i="18" s="1"/>
  <c r="F30" i="18" s="1"/>
  <c r="M23" i="18"/>
  <c r="M31" i="18" s="1"/>
  <c r="M24" i="18"/>
  <c r="M32" i="18" s="1"/>
  <c r="V22" i="18"/>
  <c r="W22" i="18"/>
  <c r="G23" i="18"/>
  <c r="G31" i="18" s="1"/>
  <c r="E31" i="18"/>
  <c r="I23" i="18"/>
  <c r="I31" i="18" s="1"/>
  <c r="I24" i="18"/>
  <c r="I32" i="18" s="1"/>
  <c r="V20" i="18"/>
  <c r="W20" i="18"/>
  <c r="E27" i="18"/>
  <c r="E34" i="18" s="1"/>
  <c r="W41" i="18"/>
  <c r="W40" i="18" s="1"/>
  <c r="V36" i="18"/>
  <c r="H24" i="18"/>
  <c r="H32" i="18" s="1"/>
  <c r="H23" i="18"/>
  <c r="H31" i="18" s="1"/>
  <c r="H47" i="24" l="1"/>
  <c r="H49" i="24" s="1"/>
  <c r="G48" i="25"/>
  <c r="E9" i="28"/>
  <c r="E5" i="28" s="1"/>
  <c r="F10" i="28"/>
  <c r="F9" i="28" s="1"/>
  <c r="F5" i="28" s="1"/>
  <c r="H39" i="27" s="1"/>
  <c r="G43" i="24"/>
  <c r="F62" i="25"/>
  <c r="F71" i="25" s="1"/>
  <c r="F18" i="28"/>
  <c r="F17" i="28" s="1"/>
  <c r="F14" i="28" s="1"/>
  <c r="E17" i="28"/>
  <c r="E14" i="28" s="1"/>
  <c r="G48" i="28"/>
  <c r="G41" i="24"/>
  <c r="G41" i="27"/>
  <c r="G56" i="25"/>
  <c r="G56" i="28"/>
  <c r="G43" i="28"/>
  <c r="G43" i="25"/>
  <c r="G19" i="25"/>
  <c r="E17" i="25"/>
  <c r="E14" i="25" s="1"/>
  <c r="G14" i="28"/>
  <c r="G11" i="25"/>
  <c r="G9" i="25" s="1"/>
  <c r="E9" i="25"/>
  <c r="E5" i="25" s="1"/>
  <c r="O27" i="18"/>
  <c r="O34" i="18" s="1"/>
  <c r="O47" i="18"/>
  <c r="X18" i="18"/>
  <c r="P45" i="18"/>
  <c r="P27" i="18"/>
  <c r="P34" i="18" s="1"/>
  <c r="P47" i="18"/>
  <c r="O36" i="18"/>
  <c r="N28" i="18"/>
  <c r="L28" i="18"/>
  <c r="K28" i="18"/>
  <c r="K25" i="18"/>
  <c r="X10" i="18"/>
  <c r="P41" i="18"/>
  <c r="J28" i="18"/>
  <c r="X20" i="18"/>
  <c r="O24" i="18"/>
  <c r="O32" i="18" s="1"/>
  <c r="O23" i="18"/>
  <c r="O31" i="18" s="1"/>
  <c r="X22" i="18"/>
  <c r="H28" i="18"/>
  <c r="P24" i="18"/>
  <c r="P32" i="18" s="1"/>
  <c r="P23" i="18"/>
  <c r="P31" i="18" s="1"/>
  <c r="M28" i="18"/>
  <c r="I28" i="18"/>
  <c r="X37" i="18"/>
  <c r="X21" i="18"/>
  <c r="Q21" i="18"/>
  <c r="Q37" i="18" s="1"/>
  <c r="Q18" i="18"/>
  <c r="Q45" i="18" s="1"/>
  <c r="Q20" i="18"/>
  <c r="Q47" i="18" s="1"/>
  <c r="Q19" i="18"/>
  <c r="Q46" i="18" s="1"/>
  <c r="Q22" i="18"/>
  <c r="S8" i="18"/>
  <c r="S9" i="18" s="1"/>
  <c r="R9" i="18"/>
  <c r="Q10" i="18"/>
  <c r="Q41" i="18" s="1"/>
  <c r="P6" i="18"/>
  <c r="X6" i="18" s="1"/>
  <c r="F53" i="18"/>
  <c r="N26" i="18"/>
  <c r="J26" i="18"/>
  <c r="J33" i="18" s="1"/>
  <c r="L26" i="18"/>
  <c r="L33" i="18" s="1"/>
  <c r="E30" i="18"/>
  <c r="W45" i="18"/>
  <c r="C20" i="21" s="1"/>
  <c r="V45" i="18"/>
  <c r="F28" i="18"/>
  <c r="W19" i="18"/>
  <c r="X19" i="18"/>
  <c r="V19" i="18"/>
  <c r="I60" i="18"/>
  <c r="H62" i="18"/>
  <c r="M26" i="18"/>
  <c r="H26" i="18"/>
  <c r="H33" i="18" s="1"/>
  <c r="V23" i="18"/>
  <c r="W23" i="18"/>
  <c r="I26" i="18"/>
  <c r="I33" i="18" s="1"/>
  <c r="E28" i="18"/>
  <c r="G26" i="18"/>
  <c r="W24" i="18"/>
  <c r="V24" i="18"/>
  <c r="I39" i="24" l="1"/>
  <c r="I42" i="24"/>
  <c r="I43" i="24"/>
  <c r="I45" i="24"/>
  <c r="I44" i="24"/>
  <c r="I40" i="24"/>
  <c r="I41" i="24"/>
  <c r="G47" i="24"/>
  <c r="H44" i="1" s="1"/>
  <c r="G10" i="28"/>
  <c r="G9" i="28" s="1"/>
  <c r="G82" i="1"/>
  <c r="G5" i="25"/>
  <c r="G83" i="1"/>
  <c r="E4" i="25"/>
  <c r="M83" i="1"/>
  <c r="E4" i="28"/>
  <c r="G39" i="27"/>
  <c r="G17" i="25"/>
  <c r="H40" i="27"/>
  <c r="F4" i="28"/>
  <c r="F62" i="28" s="1"/>
  <c r="F71" i="28" s="1"/>
  <c r="M82" i="1"/>
  <c r="G5" i="28"/>
  <c r="O26" i="18"/>
  <c r="N25" i="18"/>
  <c r="N33" i="18"/>
  <c r="N30" i="18" s="1"/>
  <c r="M25" i="18"/>
  <c r="M33" i="18"/>
  <c r="M30" i="18" s="1"/>
  <c r="M53" i="18" s="1"/>
  <c r="M55" i="18" s="1"/>
  <c r="G25" i="18"/>
  <c r="G33" i="18"/>
  <c r="G30" i="18" s="1"/>
  <c r="T9" i="18"/>
  <c r="P40" i="18"/>
  <c r="X24" i="18"/>
  <c r="Q36" i="18"/>
  <c r="X45" i="18"/>
  <c r="E20" i="21" s="1"/>
  <c r="H25" i="18"/>
  <c r="H30" i="18"/>
  <c r="H53" i="18" s="1"/>
  <c r="H55" i="18" s="1"/>
  <c r="J25" i="18"/>
  <c r="J30" i="18"/>
  <c r="J53" i="18" s="1"/>
  <c r="J55" i="18" s="1"/>
  <c r="P36" i="18"/>
  <c r="L25" i="18"/>
  <c r="L30" i="18"/>
  <c r="L53" i="18" s="1"/>
  <c r="L55" i="18" s="1"/>
  <c r="I25" i="18"/>
  <c r="I30" i="18"/>
  <c r="I53" i="18" s="1"/>
  <c r="I55" i="18" s="1"/>
  <c r="P26" i="18"/>
  <c r="X32" i="18"/>
  <c r="E17" i="21" s="1"/>
  <c r="K30" i="18"/>
  <c r="Q40" i="18"/>
  <c r="X42" i="18"/>
  <c r="O28" i="18"/>
  <c r="P28" i="18"/>
  <c r="X23" i="18"/>
  <c r="S12" i="18"/>
  <c r="Y12" i="18" s="1"/>
  <c r="R12" i="18"/>
  <c r="Q27" i="18"/>
  <c r="Q34" i="18" s="1"/>
  <c r="Q23" i="18"/>
  <c r="Q31" i="18" s="1"/>
  <c r="Q24" i="18"/>
  <c r="Q32" i="18" s="1"/>
  <c r="R10" i="18"/>
  <c r="R41" i="18" s="1"/>
  <c r="Q6" i="18"/>
  <c r="G28" i="18"/>
  <c r="V28" i="18" s="1"/>
  <c r="X46" i="18"/>
  <c r="E21" i="21" s="1"/>
  <c r="F64" i="18"/>
  <c r="X27" i="18"/>
  <c r="W27" i="18"/>
  <c r="V27" i="18"/>
  <c r="J60" i="18"/>
  <c r="I62" i="18"/>
  <c r="X31" i="18"/>
  <c r="E16" i="21" s="1"/>
  <c r="W31" i="18"/>
  <c r="C16" i="21" s="1"/>
  <c r="V31" i="18"/>
  <c r="W38" i="18"/>
  <c r="W36" i="18"/>
  <c r="C14" i="21" s="1"/>
  <c r="W47" i="18"/>
  <c r="C22" i="21" s="1"/>
  <c r="V47" i="18"/>
  <c r="X47" i="18"/>
  <c r="E22" i="21" s="1"/>
  <c r="X41" i="18"/>
  <c r="W26" i="18"/>
  <c r="V26" i="18"/>
  <c r="W32" i="18"/>
  <c r="C17" i="21" s="1"/>
  <c r="V32" i="18"/>
  <c r="I47" i="24" l="1"/>
  <c r="G49" i="24"/>
  <c r="D4" i="25"/>
  <c r="G4" i="28"/>
  <c r="G40" i="27"/>
  <c r="G47" i="27" s="1"/>
  <c r="M44" i="1" s="1"/>
  <c r="N44" i="1" s="1"/>
  <c r="O44" i="1" s="1"/>
  <c r="P44" i="1" s="1"/>
  <c r="Q44" i="1" s="1"/>
  <c r="R44" i="1" s="1"/>
  <c r="H47" i="27"/>
  <c r="I40" i="27" s="1"/>
  <c r="G14" i="25"/>
  <c r="C14" i="19"/>
  <c r="D4" i="28"/>
  <c r="H64" i="18"/>
  <c r="H66" i="18" s="1"/>
  <c r="P25" i="18"/>
  <c r="P33" i="18"/>
  <c r="P30" i="18" s="1"/>
  <c r="O25" i="18"/>
  <c r="O33" i="18"/>
  <c r="O30" i="18"/>
  <c r="X40" i="18"/>
  <c r="W25" i="18"/>
  <c r="I64" i="18"/>
  <c r="I66" i="18" s="1"/>
  <c r="V25" i="18"/>
  <c r="X26" i="18"/>
  <c r="S22" i="18"/>
  <c r="S23" i="18" s="1"/>
  <c r="S31" i="18" s="1"/>
  <c r="R40" i="18"/>
  <c r="S19" i="18"/>
  <c r="S46" i="18" s="1"/>
  <c r="S21" i="18"/>
  <c r="S20" i="18"/>
  <c r="S18" i="18"/>
  <c r="Q28" i="18"/>
  <c r="R22" i="18"/>
  <c r="R18" i="18"/>
  <c r="R45" i="18" s="1"/>
  <c r="R21" i="18"/>
  <c r="R37" i="18" s="1"/>
  <c r="R36" i="18" s="1"/>
  <c r="R20" i="18"/>
  <c r="R47" i="18" s="1"/>
  <c r="R19" i="18"/>
  <c r="R46" i="18" s="1"/>
  <c r="Q26" i="18"/>
  <c r="Q33" i="18" s="1"/>
  <c r="S10" i="18"/>
  <c r="T10" i="18" s="1"/>
  <c r="R6" i="18"/>
  <c r="W28" i="18"/>
  <c r="X28" i="18"/>
  <c r="N53" i="18"/>
  <c r="N55" i="18" s="1"/>
  <c r="K53" i="18"/>
  <c r="K55" i="18" s="1"/>
  <c r="W46" i="18"/>
  <c r="C21" i="21" s="1"/>
  <c r="V46" i="18"/>
  <c r="K60" i="18"/>
  <c r="J64" i="18"/>
  <c r="J62" i="18"/>
  <c r="E53" i="18"/>
  <c r="X38" i="18"/>
  <c r="X36" i="18"/>
  <c r="E14" i="21" s="1"/>
  <c r="W33" i="18"/>
  <c r="C19" i="21" s="1"/>
  <c r="V33" i="18"/>
  <c r="G53" i="18"/>
  <c r="W30" i="18"/>
  <c r="V30" i="18"/>
  <c r="X25" i="18" l="1"/>
  <c r="X33" i="18"/>
  <c r="E19" i="21" s="1"/>
  <c r="G49" i="27"/>
  <c r="I42" i="27"/>
  <c r="C7" i="19"/>
  <c r="H49" i="27"/>
  <c r="I44" i="27"/>
  <c r="I43" i="27"/>
  <c r="I45" i="27"/>
  <c r="I41" i="27"/>
  <c r="I39" i="27"/>
  <c r="G4" i="25"/>
  <c r="Y18" i="18"/>
  <c r="S45" i="18"/>
  <c r="S27" i="18"/>
  <c r="S34" i="18" s="1"/>
  <c r="S47" i="18"/>
  <c r="S37" i="18"/>
  <c r="T21" i="18"/>
  <c r="Z85" i="18" s="1"/>
  <c r="Y21" i="18"/>
  <c r="X30" i="18"/>
  <c r="Y10" i="18"/>
  <c r="S41" i="18"/>
  <c r="S24" i="18"/>
  <c r="S32" i="18" s="1"/>
  <c r="T19" i="18"/>
  <c r="Y19" i="18"/>
  <c r="T18" i="18"/>
  <c r="Q25" i="18"/>
  <c r="R24" i="18"/>
  <c r="R32" i="18" s="1"/>
  <c r="R23" i="18"/>
  <c r="R31" i="18" s="1"/>
  <c r="Y22" i="18"/>
  <c r="T22" i="18"/>
  <c r="R27" i="18"/>
  <c r="R34" i="18" s="1"/>
  <c r="T20" i="18"/>
  <c r="Y20" i="18"/>
  <c r="S6" i="18"/>
  <c r="V34" i="18"/>
  <c r="P53" i="18"/>
  <c r="P55" i="18" s="1"/>
  <c r="W34" i="18"/>
  <c r="C18" i="21" s="1"/>
  <c r="X34" i="18"/>
  <c r="E18" i="21" s="1"/>
  <c r="K64" i="18"/>
  <c r="O53" i="18"/>
  <c r="O55" i="18" s="1"/>
  <c r="J66" i="18"/>
  <c r="K62" i="18"/>
  <c r="L60" i="18"/>
  <c r="G64" i="18"/>
  <c r="E64" i="18"/>
  <c r="I47" i="27" l="1"/>
  <c r="S40" i="18"/>
  <c r="T40" i="18" s="1"/>
  <c r="S36" i="18"/>
  <c r="T37" i="18"/>
  <c r="AB85" i="18" s="1"/>
  <c r="Y37" i="18"/>
  <c r="Y6" i="18"/>
  <c r="T6" i="18"/>
  <c r="T38" i="18"/>
  <c r="AB86" i="18" s="1"/>
  <c r="Y38" i="18"/>
  <c r="Y41" i="18"/>
  <c r="T41" i="18"/>
  <c r="Q30" i="18"/>
  <c r="S26" i="18"/>
  <c r="S28" i="18"/>
  <c r="R26" i="18"/>
  <c r="R33" i="18" s="1"/>
  <c r="T24" i="18"/>
  <c r="Y24" i="18"/>
  <c r="T46" i="18"/>
  <c r="Y46" i="18"/>
  <c r="G21" i="21" s="1"/>
  <c r="T47" i="18"/>
  <c r="Y47" i="18"/>
  <c r="G22" i="21" s="1"/>
  <c r="Y27" i="18"/>
  <c r="T27" i="18"/>
  <c r="Y45" i="18"/>
  <c r="G20" i="21" s="1"/>
  <c r="T45" i="18"/>
  <c r="R28" i="18"/>
  <c r="T23" i="18"/>
  <c r="Y23" i="18"/>
  <c r="AB83" i="18"/>
  <c r="Z83" i="18"/>
  <c r="K66" i="18"/>
  <c r="L64" i="18"/>
  <c r="L62" i="18"/>
  <c r="M60" i="18"/>
  <c r="H73" i="18"/>
  <c r="S25" i="18" l="1"/>
  <c r="S33" i="18"/>
  <c r="S30" i="18" s="1"/>
  <c r="S53" i="18" s="1"/>
  <c r="S55" i="18" s="1"/>
  <c r="T32" i="18"/>
  <c r="Y42" i="18"/>
  <c r="Y40" i="18" s="1"/>
  <c r="T42" i="18"/>
  <c r="Y32" i="18"/>
  <c r="G17" i="21" s="1"/>
  <c r="T31" i="18"/>
  <c r="T36" i="18"/>
  <c r="Y36" i="18"/>
  <c r="G14" i="21" s="1"/>
  <c r="T34" i="18"/>
  <c r="Y34" i="18"/>
  <c r="G18" i="21" s="1"/>
  <c r="Y31" i="18"/>
  <c r="G16" i="21" s="1"/>
  <c r="Q53" i="18"/>
  <c r="T28" i="18"/>
  <c r="Z82" i="18" s="1"/>
  <c r="Y28" i="18"/>
  <c r="R25" i="18"/>
  <c r="Y26" i="18"/>
  <c r="T26" i="18"/>
  <c r="L66" i="18"/>
  <c r="N60" i="18"/>
  <c r="M62" i="18"/>
  <c r="M64" i="18"/>
  <c r="Q55" i="18" l="1"/>
  <c r="R30" i="18"/>
  <c r="T30" i="18" s="1"/>
  <c r="AB82" i="18" s="1"/>
  <c r="Y33" i="18"/>
  <c r="G19" i="21" s="1"/>
  <c r="T33" i="18"/>
  <c r="Y25" i="18"/>
  <c r="T25" i="18"/>
  <c r="M66" i="18"/>
  <c r="N62" i="18"/>
  <c r="O60" i="18"/>
  <c r="N64" i="18"/>
  <c r="R53" i="18" l="1"/>
  <c r="Y30" i="18"/>
  <c r="N66" i="18"/>
  <c r="O62" i="18"/>
  <c r="P60" i="18"/>
  <c r="O64" i="18"/>
  <c r="R55" i="18" l="1"/>
  <c r="T53" i="18"/>
  <c r="O66" i="18"/>
  <c r="Q60" i="18"/>
  <c r="P62" i="18"/>
  <c r="P64" i="18"/>
  <c r="P66" i="18" l="1"/>
  <c r="Q64" i="18"/>
  <c r="Q62" i="18"/>
  <c r="R60" i="18"/>
  <c r="R62" i="18" l="1"/>
  <c r="S60" i="18"/>
  <c r="R64" i="18"/>
  <c r="Q66" i="18"/>
  <c r="R66" i="18" l="1"/>
  <c r="S62" i="18"/>
  <c r="S64" i="18"/>
  <c r="T64" i="18" s="1"/>
  <c r="S66" i="18" l="1"/>
  <c r="C4" i="10"/>
  <c r="D4" i="10" s="1"/>
  <c r="E4" i="10" s="1"/>
  <c r="F4" i="10" s="1"/>
  <c r="G4" i="10" s="1"/>
  <c r="H4" i="10" s="1"/>
  <c r="I4" i="10" s="1"/>
  <c r="J4" i="10" s="1"/>
  <c r="K4" i="10" s="1"/>
  <c r="L4" i="10" s="1"/>
  <c r="M4" i="10" s="1"/>
  <c r="N4" i="10" s="1"/>
  <c r="O4" i="10" s="1"/>
  <c r="P4" i="10" s="1"/>
  <c r="C3" i="10"/>
  <c r="D3" i="10" s="1"/>
  <c r="E3" i="10" s="1"/>
  <c r="F3" i="10" s="1"/>
  <c r="G3" i="10" s="1"/>
  <c r="H3" i="10" s="1"/>
  <c r="I3" i="10" s="1"/>
  <c r="J3" i="10" s="1"/>
  <c r="K3" i="10" s="1"/>
  <c r="L3" i="10" s="1"/>
  <c r="M3" i="10" s="1"/>
  <c r="N3" i="10" s="1"/>
  <c r="O3" i="10" s="1"/>
  <c r="P3" i="10" s="1"/>
  <c r="E30" i="2" l="1"/>
  <c r="B82" i="1" l="1"/>
  <c r="B83" i="1"/>
  <c r="B84" i="1"/>
  <c r="B58" i="1"/>
  <c r="B59" i="1"/>
  <c r="H59" i="1"/>
  <c r="B60" i="1"/>
  <c r="A106" i="1"/>
  <c r="H106" i="1"/>
  <c r="J106" i="1" s="1"/>
  <c r="K106" i="1" s="1"/>
  <c r="L106" i="1" s="1"/>
  <c r="N106" i="1" s="1"/>
  <c r="O106" i="1" s="1"/>
  <c r="P106" i="1" s="1"/>
  <c r="Q106" i="1" s="1"/>
  <c r="R106" i="1" s="1"/>
  <c r="B85" i="1"/>
  <c r="H85" i="1"/>
  <c r="J85" i="1" s="1"/>
  <c r="K85" i="1" s="1"/>
  <c r="L85" i="1" s="1"/>
  <c r="N85" i="1" s="1"/>
  <c r="O85" i="1" s="1"/>
  <c r="P85" i="1" s="1"/>
  <c r="Q85" i="1" s="1"/>
  <c r="R85" i="1" s="1"/>
  <c r="H94" i="1"/>
  <c r="J94" i="1" s="1"/>
  <c r="K94" i="1" s="1"/>
  <c r="L94" i="1" s="1"/>
  <c r="N94" i="1" s="1"/>
  <c r="O94" i="1" s="1"/>
  <c r="P94" i="1" s="1"/>
  <c r="Q94" i="1" s="1"/>
  <c r="R94" i="1" s="1"/>
  <c r="B95" i="1"/>
  <c r="D95" i="1"/>
  <c r="E95" i="1" s="1"/>
  <c r="F95" i="1" s="1"/>
  <c r="G95" i="1" s="1"/>
  <c r="H95" i="1" s="1"/>
  <c r="I95" i="1" s="1"/>
  <c r="J95" i="1" s="1"/>
  <c r="K95" i="1" s="1"/>
  <c r="L95" i="1" s="1"/>
  <c r="M95" i="1" s="1"/>
  <c r="N95" i="1" s="1"/>
  <c r="O95" i="1" s="1"/>
  <c r="P95" i="1" s="1"/>
  <c r="Q95" i="1" s="1"/>
  <c r="R95" i="1" s="1"/>
  <c r="B96" i="1"/>
  <c r="D96" i="1"/>
  <c r="E96" i="1" s="1"/>
  <c r="F96" i="1" s="1"/>
  <c r="G96" i="1" s="1"/>
  <c r="H96" i="1" s="1"/>
  <c r="I96" i="1" s="1"/>
  <c r="J96" i="1" s="1"/>
  <c r="K96" i="1" s="1"/>
  <c r="L96" i="1" s="1"/>
  <c r="M96" i="1" s="1"/>
  <c r="N96" i="1" s="1"/>
  <c r="O96" i="1" s="1"/>
  <c r="P96" i="1" s="1"/>
  <c r="Q96" i="1" s="1"/>
  <c r="R96" i="1" s="1"/>
  <c r="B97" i="1"/>
  <c r="D97" i="1"/>
  <c r="E97" i="1" s="1"/>
  <c r="F97" i="1" s="1"/>
  <c r="G97" i="1" s="1"/>
  <c r="H97" i="1" s="1"/>
  <c r="I97" i="1" s="1"/>
  <c r="J97" i="1" s="1"/>
  <c r="K97" i="1" s="1"/>
  <c r="L97" i="1" s="1"/>
  <c r="M97" i="1" s="1"/>
  <c r="N97" i="1" s="1"/>
  <c r="O97" i="1" s="1"/>
  <c r="P97" i="1" s="1"/>
  <c r="Q97" i="1" s="1"/>
  <c r="R97" i="1" s="1"/>
  <c r="B98" i="1"/>
  <c r="D98" i="1"/>
  <c r="E98" i="1" s="1"/>
  <c r="F98" i="1" s="1"/>
  <c r="G98" i="1" s="1"/>
  <c r="H98" i="1" s="1"/>
  <c r="I98" i="1" s="1"/>
  <c r="J98" i="1" s="1"/>
  <c r="K98" i="1" s="1"/>
  <c r="L98" i="1" s="1"/>
  <c r="M98" i="1" s="1"/>
  <c r="N98" i="1" s="1"/>
  <c r="O98" i="1" s="1"/>
  <c r="P98" i="1" s="1"/>
  <c r="Q98" i="1" s="1"/>
  <c r="R98" i="1" s="1"/>
  <c r="B86" i="1"/>
  <c r="H86" i="1"/>
  <c r="J86" i="1" s="1"/>
  <c r="K86" i="1" s="1"/>
  <c r="L86" i="1" s="1"/>
  <c r="N86" i="1" s="1"/>
  <c r="O86" i="1" s="1"/>
  <c r="P86" i="1" s="1"/>
  <c r="Q86" i="1" s="1"/>
  <c r="R86" i="1" s="1"/>
  <c r="B87" i="1"/>
  <c r="H87" i="1"/>
  <c r="J87" i="1" s="1"/>
  <c r="K87" i="1" s="1"/>
  <c r="L87" i="1" s="1"/>
  <c r="N87" i="1" s="1"/>
  <c r="O87" i="1" s="1"/>
  <c r="P87" i="1" s="1"/>
  <c r="Q87" i="1" s="1"/>
  <c r="R87" i="1" s="1"/>
  <c r="A107" i="1"/>
  <c r="A108" i="1"/>
  <c r="A109" i="1"/>
  <c r="H109" i="1"/>
  <c r="J109" i="1" s="1"/>
  <c r="K109" i="1" s="1"/>
  <c r="L109" i="1" s="1"/>
  <c r="N109" i="1" s="1"/>
  <c r="O109" i="1" s="1"/>
  <c r="P109" i="1" s="1"/>
  <c r="Q109" i="1" s="1"/>
  <c r="R109" i="1" s="1"/>
  <c r="J59" i="1" l="1"/>
  <c r="H58" i="1"/>
  <c r="J58" i="1" s="1"/>
  <c r="K58" i="1" s="1"/>
  <c r="L58" i="1" s="1"/>
  <c r="N58" i="1" s="1"/>
  <c r="O58" i="1" s="1"/>
  <c r="P58" i="1" s="1"/>
  <c r="Q58" i="1" s="1"/>
  <c r="R58" i="1" s="1"/>
  <c r="D78" i="1"/>
  <c r="J10" i="2"/>
  <c r="O10" i="2"/>
  <c r="J11" i="2"/>
  <c r="O11" i="2"/>
  <c r="J12" i="2"/>
  <c r="O12" i="2"/>
  <c r="D20" i="11"/>
  <c r="E20" i="11"/>
  <c r="F20" i="11"/>
  <c r="G20" i="11"/>
  <c r="H20" i="11"/>
  <c r="I20" i="11"/>
  <c r="J20" i="11"/>
  <c r="K20" i="11"/>
  <c r="L20" i="11"/>
  <c r="M20" i="11"/>
  <c r="N20" i="11"/>
  <c r="O20" i="11"/>
  <c r="P20" i="11"/>
  <c r="Q20" i="11"/>
  <c r="C20" i="11"/>
  <c r="C16" i="13"/>
  <c r="K59" i="1" l="1"/>
  <c r="C28" i="11"/>
  <c r="C56" i="11" s="1"/>
  <c r="D19" i="11"/>
  <c r="E19" i="11"/>
  <c r="F19" i="11"/>
  <c r="G19" i="11"/>
  <c r="H19" i="11"/>
  <c r="I19" i="11"/>
  <c r="J19" i="11"/>
  <c r="K19" i="11"/>
  <c r="L19" i="11"/>
  <c r="M19" i="11"/>
  <c r="N19" i="11"/>
  <c r="O19" i="11"/>
  <c r="P19" i="11"/>
  <c r="Q19" i="11"/>
  <c r="C19" i="11"/>
  <c r="D18" i="11"/>
  <c r="E18" i="11"/>
  <c r="F18" i="11"/>
  <c r="G18" i="11"/>
  <c r="H18" i="11"/>
  <c r="I18" i="11"/>
  <c r="J18" i="11"/>
  <c r="K18" i="11"/>
  <c r="L18" i="11"/>
  <c r="M18" i="11"/>
  <c r="N18" i="11"/>
  <c r="O18" i="11"/>
  <c r="P18" i="11"/>
  <c r="Q18" i="11"/>
  <c r="C18" i="11"/>
  <c r="C17" i="11"/>
  <c r="A46" i="11"/>
  <c r="A39" i="11"/>
  <c r="C5" i="7"/>
  <c r="C4" i="7"/>
  <c r="B2" i="10"/>
  <c r="C2" i="10" s="1"/>
  <c r="D2" i="10" s="1"/>
  <c r="E2" i="10" s="1"/>
  <c r="F2" i="10" s="1"/>
  <c r="G2" i="10" s="1"/>
  <c r="H2" i="10" s="1"/>
  <c r="I2" i="10" s="1"/>
  <c r="J2" i="10" s="1"/>
  <c r="K2" i="10" s="1"/>
  <c r="L2" i="10" s="1"/>
  <c r="M2" i="10" s="1"/>
  <c r="N2" i="10" s="1"/>
  <c r="O2" i="10" s="1"/>
  <c r="P2" i="10" s="1"/>
  <c r="P5" i="10"/>
  <c r="O5" i="10"/>
  <c r="N5" i="10"/>
  <c r="M5" i="10"/>
  <c r="L5" i="10"/>
  <c r="K5" i="10"/>
  <c r="J5" i="10"/>
  <c r="I5" i="10"/>
  <c r="H5" i="10"/>
  <c r="G5" i="10"/>
  <c r="F5" i="10"/>
  <c r="E5" i="10"/>
  <c r="D5" i="10"/>
  <c r="C5" i="10"/>
  <c r="B5" i="10"/>
  <c r="L59" i="1" l="1"/>
  <c r="D2" i="2"/>
  <c r="N59" i="1" l="1"/>
  <c r="A116" i="5"/>
  <c r="A104" i="5"/>
  <c r="A94" i="5"/>
  <c r="A92" i="5"/>
  <c r="A82" i="5"/>
  <c r="D58" i="5"/>
  <c r="E58" i="5"/>
  <c r="F58" i="5"/>
  <c r="G58" i="5"/>
  <c r="H58" i="5"/>
  <c r="I58" i="5"/>
  <c r="J58" i="5"/>
  <c r="K58" i="5"/>
  <c r="D59" i="5"/>
  <c r="E59" i="5"/>
  <c r="F59" i="5"/>
  <c r="G59" i="5"/>
  <c r="H59" i="5"/>
  <c r="I59" i="5"/>
  <c r="J59" i="5"/>
  <c r="K59" i="5"/>
  <c r="D60" i="5"/>
  <c r="E60" i="5"/>
  <c r="F60" i="5"/>
  <c r="G60" i="5"/>
  <c r="H60" i="5"/>
  <c r="I60" i="5"/>
  <c r="J60" i="5"/>
  <c r="K60" i="5"/>
  <c r="D61" i="5"/>
  <c r="E61" i="5"/>
  <c r="F61" i="5"/>
  <c r="G61" i="5"/>
  <c r="H61" i="5"/>
  <c r="I61" i="5"/>
  <c r="J61" i="5"/>
  <c r="K61" i="5"/>
  <c r="D62" i="5"/>
  <c r="E62" i="5"/>
  <c r="F62" i="5"/>
  <c r="G62" i="5"/>
  <c r="H62" i="5"/>
  <c r="I62" i="5"/>
  <c r="J62" i="5"/>
  <c r="K62" i="5"/>
  <c r="D63" i="5"/>
  <c r="E63" i="5"/>
  <c r="F63" i="5"/>
  <c r="G63" i="5"/>
  <c r="H63" i="5"/>
  <c r="I63" i="5"/>
  <c r="J63" i="5"/>
  <c r="K63" i="5"/>
  <c r="D64" i="5"/>
  <c r="E64" i="5"/>
  <c r="F64" i="5"/>
  <c r="G64" i="5"/>
  <c r="H64" i="5"/>
  <c r="I64" i="5"/>
  <c r="J64" i="5"/>
  <c r="K64" i="5"/>
  <c r="D65" i="5"/>
  <c r="E65" i="5"/>
  <c r="F65" i="5"/>
  <c r="G65" i="5"/>
  <c r="H65" i="5"/>
  <c r="I65" i="5"/>
  <c r="J65" i="5"/>
  <c r="K65" i="5"/>
  <c r="D66" i="5"/>
  <c r="E66" i="5"/>
  <c r="F66" i="5"/>
  <c r="G66" i="5"/>
  <c r="H66" i="5"/>
  <c r="I66" i="5"/>
  <c r="J66" i="5"/>
  <c r="K66" i="5"/>
  <c r="D67" i="5"/>
  <c r="E67" i="5"/>
  <c r="F67" i="5"/>
  <c r="G67" i="5"/>
  <c r="H67" i="5"/>
  <c r="I67" i="5"/>
  <c r="J67" i="5"/>
  <c r="K67" i="5"/>
  <c r="D68" i="5"/>
  <c r="E68" i="5"/>
  <c r="F68" i="5"/>
  <c r="G68" i="5"/>
  <c r="H68" i="5"/>
  <c r="I68" i="5"/>
  <c r="J68" i="5"/>
  <c r="K68" i="5"/>
  <c r="D69" i="5"/>
  <c r="E69" i="5"/>
  <c r="F69" i="5"/>
  <c r="G69" i="5"/>
  <c r="H69" i="5"/>
  <c r="I69" i="5"/>
  <c r="J69" i="5"/>
  <c r="K69" i="5"/>
  <c r="D70" i="5"/>
  <c r="E70" i="5"/>
  <c r="F70" i="5"/>
  <c r="G70" i="5"/>
  <c r="H70" i="5"/>
  <c r="I70" i="5"/>
  <c r="J70" i="5"/>
  <c r="K70" i="5"/>
  <c r="D71" i="5"/>
  <c r="E71" i="5"/>
  <c r="F71" i="5"/>
  <c r="G71" i="5"/>
  <c r="H71" i="5"/>
  <c r="I71" i="5"/>
  <c r="J71" i="5"/>
  <c r="K71" i="5"/>
  <c r="D72" i="5"/>
  <c r="E72" i="5"/>
  <c r="F72" i="5"/>
  <c r="G72" i="5"/>
  <c r="H72" i="5"/>
  <c r="I72" i="5"/>
  <c r="J72" i="5"/>
  <c r="K72" i="5"/>
  <c r="D73" i="5"/>
  <c r="E73" i="5"/>
  <c r="F73" i="5"/>
  <c r="G73" i="5"/>
  <c r="H73" i="5"/>
  <c r="I73" i="5"/>
  <c r="J73" i="5"/>
  <c r="K73" i="5"/>
  <c r="D74" i="5"/>
  <c r="E74" i="5"/>
  <c r="F74" i="5"/>
  <c r="G74" i="5"/>
  <c r="H74" i="5"/>
  <c r="I74" i="5"/>
  <c r="J74" i="5"/>
  <c r="K74" i="5"/>
  <c r="D75" i="5"/>
  <c r="E75" i="5"/>
  <c r="F75" i="5"/>
  <c r="G75" i="5"/>
  <c r="H75" i="5"/>
  <c r="I75" i="5"/>
  <c r="J75" i="5"/>
  <c r="K75" i="5"/>
  <c r="D76" i="5"/>
  <c r="E76" i="5"/>
  <c r="F76" i="5"/>
  <c r="G76" i="5"/>
  <c r="H76" i="5"/>
  <c r="I76" i="5"/>
  <c r="J76" i="5"/>
  <c r="K76" i="5"/>
  <c r="D77" i="5"/>
  <c r="E77" i="5"/>
  <c r="F77" i="5"/>
  <c r="G77" i="5"/>
  <c r="H77" i="5"/>
  <c r="I77" i="5"/>
  <c r="J77" i="5"/>
  <c r="K77" i="5"/>
  <c r="D85" i="5"/>
  <c r="E85" i="5"/>
  <c r="F85" i="5"/>
  <c r="G85" i="5"/>
  <c r="H85" i="5"/>
  <c r="I85" i="5"/>
  <c r="J85" i="5"/>
  <c r="K85" i="5"/>
  <c r="D86" i="5"/>
  <c r="E86" i="5"/>
  <c r="F86" i="5"/>
  <c r="G86" i="5"/>
  <c r="H86" i="5"/>
  <c r="I86" i="5"/>
  <c r="J86" i="5"/>
  <c r="K86" i="5"/>
  <c r="D87" i="5"/>
  <c r="E87" i="5"/>
  <c r="F87" i="5"/>
  <c r="G87" i="5"/>
  <c r="H87" i="5"/>
  <c r="I87" i="5"/>
  <c r="J87" i="5"/>
  <c r="K87" i="5"/>
  <c r="D88" i="5"/>
  <c r="E88" i="5"/>
  <c r="F88" i="5"/>
  <c r="G88" i="5"/>
  <c r="H88" i="5"/>
  <c r="I88" i="5"/>
  <c r="J88" i="5"/>
  <c r="K88" i="5"/>
  <c r="D89" i="5"/>
  <c r="E89" i="5"/>
  <c r="F89" i="5"/>
  <c r="G89" i="5"/>
  <c r="H89" i="5"/>
  <c r="I89" i="5"/>
  <c r="J89" i="5"/>
  <c r="K89" i="5"/>
  <c r="D90" i="5"/>
  <c r="E90" i="5"/>
  <c r="F90" i="5"/>
  <c r="G90" i="5"/>
  <c r="H90" i="5"/>
  <c r="I90" i="5"/>
  <c r="J90" i="5"/>
  <c r="K90" i="5"/>
  <c r="D91" i="5"/>
  <c r="E91" i="5"/>
  <c r="F91" i="5"/>
  <c r="G91" i="5"/>
  <c r="H91" i="5"/>
  <c r="I91" i="5"/>
  <c r="J91" i="5"/>
  <c r="K91" i="5"/>
  <c r="D94" i="5"/>
  <c r="E94" i="5"/>
  <c r="F94" i="5"/>
  <c r="G94" i="5"/>
  <c r="H94" i="5"/>
  <c r="I94" i="5"/>
  <c r="J94" i="5"/>
  <c r="K94" i="5"/>
  <c r="D95" i="5"/>
  <c r="E95" i="5"/>
  <c r="F95" i="5"/>
  <c r="G95" i="5"/>
  <c r="H95" i="5"/>
  <c r="I95" i="5"/>
  <c r="J95" i="5"/>
  <c r="K95" i="5"/>
  <c r="D96" i="5"/>
  <c r="E96" i="5"/>
  <c r="F96" i="5"/>
  <c r="G96" i="5"/>
  <c r="H96" i="5"/>
  <c r="I96" i="5"/>
  <c r="J96" i="5"/>
  <c r="K96" i="5"/>
  <c r="D97" i="5"/>
  <c r="E97" i="5"/>
  <c r="F97" i="5"/>
  <c r="G97" i="5"/>
  <c r="H97" i="5"/>
  <c r="I97" i="5"/>
  <c r="J97" i="5"/>
  <c r="K97" i="5"/>
  <c r="D98" i="5"/>
  <c r="E98" i="5"/>
  <c r="F98" i="5"/>
  <c r="G98" i="5"/>
  <c r="H98" i="5"/>
  <c r="I98" i="5"/>
  <c r="J98" i="5"/>
  <c r="K98" i="5"/>
  <c r="D99" i="5"/>
  <c r="E99" i="5"/>
  <c r="F99" i="5"/>
  <c r="G99" i="5"/>
  <c r="H99" i="5"/>
  <c r="I99" i="5"/>
  <c r="J99" i="5"/>
  <c r="K99" i="5"/>
  <c r="D100" i="5"/>
  <c r="E100" i="5"/>
  <c r="F100" i="5"/>
  <c r="G100" i="5"/>
  <c r="H100" i="5"/>
  <c r="I100" i="5"/>
  <c r="J100" i="5"/>
  <c r="K100" i="5"/>
  <c r="D101" i="5"/>
  <c r="E101" i="5"/>
  <c r="F101" i="5"/>
  <c r="G101" i="5"/>
  <c r="H101" i="5"/>
  <c r="I101" i="5"/>
  <c r="J101" i="5"/>
  <c r="K101" i="5"/>
  <c r="D102" i="5"/>
  <c r="E102" i="5"/>
  <c r="F102" i="5"/>
  <c r="G102" i="5"/>
  <c r="H102" i="5"/>
  <c r="I102" i="5"/>
  <c r="J102" i="5"/>
  <c r="K102" i="5"/>
  <c r="D103" i="5"/>
  <c r="E103" i="5"/>
  <c r="F103" i="5"/>
  <c r="G103" i="5"/>
  <c r="H103" i="5"/>
  <c r="I103" i="5"/>
  <c r="J103" i="5"/>
  <c r="K103" i="5"/>
  <c r="D106" i="5"/>
  <c r="E106" i="5"/>
  <c r="F106" i="5"/>
  <c r="G106" i="5"/>
  <c r="H106" i="5"/>
  <c r="I106" i="5"/>
  <c r="J106" i="5"/>
  <c r="K106" i="5"/>
  <c r="D109" i="5"/>
  <c r="E109" i="5"/>
  <c r="F109" i="5"/>
  <c r="G109" i="5"/>
  <c r="H109" i="5"/>
  <c r="I109" i="5"/>
  <c r="J109" i="5"/>
  <c r="K109" i="5"/>
  <c r="D110" i="5"/>
  <c r="E110" i="5"/>
  <c r="F110" i="5"/>
  <c r="G110" i="5"/>
  <c r="H110" i="5"/>
  <c r="I110" i="5"/>
  <c r="J110" i="5"/>
  <c r="K110" i="5"/>
  <c r="D111" i="5"/>
  <c r="E111" i="5"/>
  <c r="F111" i="5"/>
  <c r="G111" i="5"/>
  <c r="H111" i="5"/>
  <c r="I111" i="5"/>
  <c r="J111" i="5"/>
  <c r="K111" i="5"/>
  <c r="D112" i="5"/>
  <c r="E112" i="5"/>
  <c r="F112" i="5"/>
  <c r="G112" i="5"/>
  <c r="H112" i="5"/>
  <c r="I112" i="5"/>
  <c r="J112" i="5"/>
  <c r="K112" i="5"/>
  <c r="D113" i="5"/>
  <c r="E113" i="5"/>
  <c r="F113" i="5"/>
  <c r="G113" i="5"/>
  <c r="H113" i="5"/>
  <c r="I113" i="5"/>
  <c r="J113" i="5"/>
  <c r="K113" i="5"/>
  <c r="D114" i="5"/>
  <c r="E114" i="5"/>
  <c r="F114" i="5"/>
  <c r="G114" i="5"/>
  <c r="H114" i="5"/>
  <c r="I114" i="5"/>
  <c r="J114" i="5"/>
  <c r="K114" i="5"/>
  <c r="D115" i="5"/>
  <c r="E115" i="5"/>
  <c r="F115" i="5"/>
  <c r="G115" i="5"/>
  <c r="H115" i="5"/>
  <c r="I115" i="5"/>
  <c r="J115" i="5"/>
  <c r="K115" i="5"/>
  <c r="E7" i="5"/>
  <c r="F7" i="5"/>
  <c r="G7" i="5"/>
  <c r="H7" i="5"/>
  <c r="I7" i="5"/>
  <c r="J7" i="5"/>
  <c r="K7" i="5"/>
  <c r="L7" i="5"/>
  <c r="M7" i="5"/>
  <c r="N7" i="5"/>
  <c r="O7" i="5"/>
  <c r="P7" i="5"/>
  <c r="Q7" i="5"/>
  <c r="R7" i="5"/>
  <c r="E11" i="5"/>
  <c r="F11" i="5"/>
  <c r="G11" i="5"/>
  <c r="H11" i="5"/>
  <c r="I11" i="5"/>
  <c r="J11" i="5"/>
  <c r="K11" i="5"/>
  <c r="L11" i="5"/>
  <c r="M11" i="5"/>
  <c r="N11" i="5"/>
  <c r="O11" i="5"/>
  <c r="P11" i="5"/>
  <c r="Q11" i="5"/>
  <c r="R11" i="5"/>
  <c r="E15" i="5"/>
  <c r="F15" i="5"/>
  <c r="G15" i="5"/>
  <c r="H15" i="5"/>
  <c r="I15" i="5"/>
  <c r="J15" i="5"/>
  <c r="K15" i="5"/>
  <c r="L15" i="5"/>
  <c r="M15" i="5"/>
  <c r="N15" i="5"/>
  <c r="O15" i="5"/>
  <c r="P15" i="5"/>
  <c r="Q15" i="5"/>
  <c r="R15" i="5"/>
  <c r="E16" i="5"/>
  <c r="F16" i="5"/>
  <c r="G16" i="5"/>
  <c r="H16" i="5"/>
  <c r="I16" i="5"/>
  <c r="J16" i="5"/>
  <c r="K16" i="5"/>
  <c r="L16" i="5"/>
  <c r="M16" i="5"/>
  <c r="N16" i="5"/>
  <c r="O16" i="5"/>
  <c r="P16" i="5"/>
  <c r="Q16" i="5"/>
  <c r="R16" i="5"/>
  <c r="E19" i="5"/>
  <c r="F19" i="5"/>
  <c r="G19" i="5"/>
  <c r="H19" i="5"/>
  <c r="I19" i="5"/>
  <c r="J19" i="5"/>
  <c r="K19" i="5"/>
  <c r="L19" i="5"/>
  <c r="M19" i="5"/>
  <c r="N19" i="5"/>
  <c r="O19" i="5"/>
  <c r="P19" i="5"/>
  <c r="Q19" i="5"/>
  <c r="R19" i="5"/>
  <c r="E20" i="5"/>
  <c r="F20" i="5"/>
  <c r="G20" i="5"/>
  <c r="H20" i="5"/>
  <c r="I20" i="5"/>
  <c r="J20" i="5"/>
  <c r="K20" i="5"/>
  <c r="L20" i="5"/>
  <c r="M20" i="5"/>
  <c r="N20" i="5"/>
  <c r="O20" i="5"/>
  <c r="P20" i="5"/>
  <c r="Q20" i="5"/>
  <c r="R20" i="5"/>
  <c r="E23" i="5"/>
  <c r="F23" i="5"/>
  <c r="G23" i="5"/>
  <c r="H23" i="5"/>
  <c r="I23" i="5"/>
  <c r="J23" i="5"/>
  <c r="K23" i="5"/>
  <c r="L23" i="5"/>
  <c r="M23" i="5"/>
  <c r="N23" i="5"/>
  <c r="O23" i="5"/>
  <c r="P23" i="5"/>
  <c r="Q23" i="5"/>
  <c r="R23" i="5"/>
  <c r="E24" i="5"/>
  <c r="F24" i="5"/>
  <c r="G24" i="5"/>
  <c r="H24" i="5"/>
  <c r="I24" i="5"/>
  <c r="J24" i="5"/>
  <c r="K24" i="5"/>
  <c r="L24" i="5"/>
  <c r="M24" i="5"/>
  <c r="N24" i="5"/>
  <c r="O24" i="5"/>
  <c r="P24" i="5"/>
  <c r="Q24" i="5"/>
  <c r="R24" i="5"/>
  <c r="E27" i="5"/>
  <c r="F27" i="5"/>
  <c r="G27" i="5"/>
  <c r="H27" i="5"/>
  <c r="I27" i="5"/>
  <c r="J27" i="5"/>
  <c r="K27" i="5"/>
  <c r="L27" i="5"/>
  <c r="M27" i="5"/>
  <c r="N27" i="5"/>
  <c r="O27" i="5"/>
  <c r="P27" i="5"/>
  <c r="Q27" i="5"/>
  <c r="R27" i="5"/>
  <c r="E28" i="5"/>
  <c r="F28" i="5"/>
  <c r="G28" i="5"/>
  <c r="H28" i="5"/>
  <c r="I28" i="5"/>
  <c r="J28" i="5"/>
  <c r="K28" i="5"/>
  <c r="L28" i="5"/>
  <c r="M28" i="5"/>
  <c r="N28" i="5"/>
  <c r="O28" i="5"/>
  <c r="P28" i="5"/>
  <c r="Q28" i="5"/>
  <c r="R28" i="5"/>
  <c r="E31" i="5"/>
  <c r="F31" i="5"/>
  <c r="G31" i="5"/>
  <c r="H31" i="5"/>
  <c r="I31" i="5"/>
  <c r="J31" i="5"/>
  <c r="K31" i="5"/>
  <c r="L31" i="5"/>
  <c r="M31" i="5"/>
  <c r="N31" i="5"/>
  <c r="O31" i="5"/>
  <c r="P31" i="5"/>
  <c r="Q31" i="5"/>
  <c r="R31" i="5"/>
  <c r="E32" i="5"/>
  <c r="F32" i="5"/>
  <c r="G32" i="5"/>
  <c r="H32" i="5"/>
  <c r="I32" i="5"/>
  <c r="J32" i="5"/>
  <c r="K32" i="5"/>
  <c r="L32" i="5"/>
  <c r="M32" i="5"/>
  <c r="N32" i="5"/>
  <c r="O32" i="5"/>
  <c r="P32" i="5"/>
  <c r="Q32" i="5"/>
  <c r="R32" i="5"/>
  <c r="E35" i="5"/>
  <c r="F35" i="5"/>
  <c r="G35" i="5"/>
  <c r="H35" i="5"/>
  <c r="I35" i="5"/>
  <c r="J35" i="5"/>
  <c r="K35" i="5"/>
  <c r="L35" i="5"/>
  <c r="M35" i="5"/>
  <c r="N35" i="5"/>
  <c r="O35" i="5"/>
  <c r="P35" i="5"/>
  <c r="Q35" i="5"/>
  <c r="R35" i="5"/>
  <c r="E36" i="5"/>
  <c r="F36" i="5"/>
  <c r="G36" i="5"/>
  <c r="H36" i="5"/>
  <c r="I36" i="5"/>
  <c r="J36" i="5"/>
  <c r="K36" i="5"/>
  <c r="L36" i="5"/>
  <c r="M36" i="5"/>
  <c r="N36" i="5"/>
  <c r="O36" i="5"/>
  <c r="P36" i="5"/>
  <c r="Q36" i="5"/>
  <c r="R36" i="5"/>
  <c r="E39" i="5"/>
  <c r="F39" i="5"/>
  <c r="G39" i="5"/>
  <c r="H39" i="5"/>
  <c r="I39" i="5"/>
  <c r="J39" i="5"/>
  <c r="K39" i="5"/>
  <c r="L39" i="5"/>
  <c r="M39" i="5"/>
  <c r="N39" i="5"/>
  <c r="O39" i="5"/>
  <c r="P39" i="5"/>
  <c r="Q39" i="5"/>
  <c r="R39" i="5"/>
  <c r="E40" i="5"/>
  <c r="F40" i="5"/>
  <c r="G40" i="5"/>
  <c r="H40" i="5"/>
  <c r="I40" i="5"/>
  <c r="J40" i="5"/>
  <c r="K40" i="5"/>
  <c r="L40" i="5"/>
  <c r="M40" i="5"/>
  <c r="N40" i="5"/>
  <c r="O40" i="5"/>
  <c r="P40" i="5"/>
  <c r="Q40" i="5"/>
  <c r="R40" i="5"/>
  <c r="E43" i="5"/>
  <c r="F43" i="5"/>
  <c r="G43" i="5"/>
  <c r="H43" i="5"/>
  <c r="I43" i="5"/>
  <c r="J43" i="5"/>
  <c r="K43" i="5"/>
  <c r="L43" i="5"/>
  <c r="M43" i="5"/>
  <c r="N43" i="5"/>
  <c r="O43" i="5"/>
  <c r="P43" i="5"/>
  <c r="Q43" i="5"/>
  <c r="R43" i="5"/>
  <c r="E44" i="5"/>
  <c r="F44" i="5"/>
  <c r="G44" i="5"/>
  <c r="H44" i="5"/>
  <c r="M44" i="5"/>
  <c r="N44" i="5"/>
  <c r="O44" i="5"/>
  <c r="P44" i="5"/>
  <c r="Q44" i="5"/>
  <c r="R44" i="5"/>
  <c r="D44" i="5"/>
  <c r="D43" i="5"/>
  <c r="D40" i="5"/>
  <c r="D39" i="5"/>
  <c r="D36" i="5"/>
  <c r="D35" i="5"/>
  <c r="D32" i="5"/>
  <c r="D31" i="5"/>
  <c r="D28" i="5"/>
  <c r="D27" i="5"/>
  <c r="E47" i="5"/>
  <c r="F47" i="5"/>
  <c r="G47" i="5"/>
  <c r="H47" i="5"/>
  <c r="I47" i="5"/>
  <c r="J47" i="5"/>
  <c r="K47" i="5"/>
  <c r="L47" i="5"/>
  <c r="M47" i="5"/>
  <c r="N47" i="5"/>
  <c r="O47" i="5"/>
  <c r="P47" i="5"/>
  <c r="Q47" i="5"/>
  <c r="R47" i="5"/>
  <c r="E48" i="5"/>
  <c r="F48" i="5"/>
  <c r="G48" i="5"/>
  <c r="H48" i="5"/>
  <c r="I48" i="5"/>
  <c r="J48" i="5"/>
  <c r="K48" i="5"/>
  <c r="L48" i="5"/>
  <c r="M48" i="5"/>
  <c r="N48" i="5"/>
  <c r="O48" i="5"/>
  <c r="P48" i="5"/>
  <c r="Q48" i="5"/>
  <c r="R48" i="5"/>
  <c r="E49" i="5"/>
  <c r="F49" i="5"/>
  <c r="G49" i="5"/>
  <c r="H49" i="5"/>
  <c r="I49" i="5"/>
  <c r="J49" i="5"/>
  <c r="K49" i="5"/>
  <c r="L49" i="5"/>
  <c r="M49" i="5"/>
  <c r="N49" i="5"/>
  <c r="O49" i="5"/>
  <c r="P49" i="5"/>
  <c r="Q49" i="5"/>
  <c r="R49" i="5"/>
  <c r="E50" i="5"/>
  <c r="F50" i="5"/>
  <c r="G50" i="5"/>
  <c r="H50" i="5"/>
  <c r="I50" i="5"/>
  <c r="J50" i="5"/>
  <c r="K50" i="5"/>
  <c r="L50" i="5"/>
  <c r="M50" i="5"/>
  <c r="N50" i="5"/>
  <c r="O50" i="5"/>
  <c r="P50" i="5"/>
  <c r="Q50" i="5"/>
  <c r="R50" i="5"/>
  <c r="E51" i="5"/>
  <c r="F51" i="5"/>
  <c r="G51" i="5"/>
  <c r="H51" i="5"/>
  <c r="I51" i="5"/>
  <c r="J51" i="5"/>
  <c r="K51" i="5"/>
  <c r="L51" i="5"/>
  <c r="M51" i="5"/>
  <c r="N51" i="5"/>
  <c r="O51" i="5"/>
  <c r="P51" i="5"/>
  <c r="Q51" i="5"/>
  <c r="R51" i="5"/>
  <c r="D51" i="5"/>
  <c r="D50" i="5"/>
  <c r="D49" i="5"/>
  <c r="D48" i="5"/>
  <c r="D47" i="5"/>
  <c r="D24" i="5"/>
  <c r="D23" i="5"/>
  <c r="D20" i="5"/>
  <c r="D19" i="5"/>
  <c r="D16" i="5"/>
  <c r="D15" i="5"/>
  <c r="D11" i="5"/>
  <c r="D7" i="5"/>
  <c r="A92" i="4"/>
  <c r="A116" i="4"/>
  <c r="A104" i="4"/>
  <c r="A94" i="4"/>
  <c r="A82" i="4"/>
  <c r="A58" i="4"/>
  <c r="E104" i="1"/>
  <c r="F104" i="1"/>
  <c r="G104" i="1"/>
  <c r="H104" i="1"/>
  <c r="I104" i="1"/>
  <c r="J104" i="1"/>
  <c r="K104" i="1"/>
  <c r="L104" i="1"/>
  <c r="E78" i="1"/>
  <c r="E79" i="1" s="1"/>
  <c r="F78" i="1"/>
  <c r="F79" i="1" s="1"/>
  <c r="G78" i="1"/>
  <c r="G79" i="1" s="1"/>
  <c r="H78" i="1"/>
  <c r="H79" i="1" s="1"/>
  <c r="I78" i="1"/>
  <c r="I79" i="1" s="1"/>
  <c r="J78" i="1"/>
  <c r="J79" i="1" s="1"/>
  <c r="K78" i="1"/>
  <c r="K79" i="1" s="1"/>
  <c r="L78" i="1"/>
  <c r="L79" i="1" s="1"/>
  <c r="M78" i="1"/>
  <c r="M79" i="1" s="1"/>
  <c r="E17" i="1"/>
  <c r="F17" i="1"/>
  <c r="G17" i="1"/>
  <c r="H17" i="1"/>
  <c r="I17" i="1"/>
  <c r="J17" i="1"/>
  <c r="K17" i="1"/>
  <c r="L17" i="1"/>
  <c r="E21" i="1"/>
  <c r="F21" i="1"/>
  <c r="G21" i="1"/>
  <c r="H21" i="1"/>
  <c r="I21" i="1"/>
  <c r="J21" i="1"/>
  <c r="K21" i="1"/>
  <c r="L21" i="1"/>
  <c r="E25" i="1"/>
  <c r="F25" i="1"/>
  <c r="G25" i="1"/>
  <c r="H25" i="1"/>
  <c r="I25" i="1"/>
  <c r="J25" i="1"/>
  <c r="K25" i="1"/>
  <c r="L25" i="1"/>
  <c r="E29" i="1"/>
  <c r="F29" i="1"/>
  <c r="G29" i="1"/>
  <c r="H29" i="1"/>
  <c r="I29" i="1"/>
  <c r="J29" i="1"/>
  <c r="K29" i="1"/>
  <c r="L29" i="1"/>
  <c r="E33" i="1"/>
  <c r="F33" i="1"/>
  <c r="G33" i="1"/>
  <c r="H33" i="1"/>
  <c r="I33" i="1"/>
  <c r="J33" i="1"/>
  <c r="K33" i="1"/>
  <c r="L33" i="1"/>
  <c r="E37" i="1"/>
  <c r="F37" i="1"/>
  <c r="G37" i="1"/>
  <c r="H37" i="1"/>
  <c r="I37" i="1"/>
  <c r="J37" i="1"/>
  <c r="K37" i="1"/>
  <c r="L37" i="1"/>
  <c r="E41" i="1"/>
  <c r="F41" i="1"/>
  <c r="G41" i="1"/>
  <c r="H41" i="1"/>
  <c r="I41" i="1"/>
  <c r="J41" i="1"/>
  <c r="K41" i="1"/>
  <c r="L41" i="1"/>
  <c r="E45" i="1"/>
  <c r="F45" i="1"/>
  <c r="G45" i="1"/>
  <c r="H45" i="1"/>
  <c r="D3" i="1"/>
  <c r="E3" i="18" s="1"/>
  <c r="E50" i="18" s="1"/>
  <c r="A39" i="2"/>
  <c r="A37" i="2"/>
  <c r="A35" i="2"/>
  <c r="A30" i="2"/>
  <c r="B31" i="2"/>
  <c r="B33" i="2"/>
  <c r="B34" i="2"/>
  <c r="B30" i="2"/>
  <c r="O59" i="1" l="1"/>
  <c r="C3" i="11"/>
  <c r="C35" i="11" s="1"/>
  <c r="D35" i="11" s="1"/>
  <c r="E35" i="11" s="1"/>
  <c r="F35" i="11" s="1"/>
  <c r="G35" i="11" s="1"/>
  <c r="H35" i="11" s="1"/>
  <c r="I35" i="11" s="1"/>
  <c r="J35" i="11" s="1"/>
  <c r="K35" i="11" s="1"/>
  <c r="L35" i="11" s="1"/>
  <c r="M35" i="11" s="1"/>
  <c r="N35" i="11" s="1"/>
  <c r="O35" i="11" s="1"/>
  <c r="P35" i="11" s="1"/>
  <c r="Q35" i="11" s="1"/>
  <c r="C6" i="13"/>
  <c r="D6" i="13" s="1"/>
  <c r="E6" i="13" s="1"/>
  <c r="F6" i="13" s="1"/>
  <c r="G6" i="13" s="1"/>
  <c r="H6" i="13" s="1"/>
  <c r="I6" i="13" s="1"/>
  <c r="J6" i="13" s="1"/>
  <c r="K6" i="13" s="1"/>
  <c r="L6" i="13" s="1"/>
  <c r="M6" i="13" s="1"/>
  <c r="N6" i="13" s="1"/>
  <c r="O6" i="13" s="1"/>
  <c r="P6" i="13" s="1"/>
  <c r="Q6" i="13" s="1"/>
  <c r="R6" i="13" s="1"/>
  <c r="S6" i="13" s="1"/>
  <c r="T6" i="13" s="1"/>
  <c r="U6" i="13" s="1"/>
  <c r="V6" i="13" s="1"/>
  <c r="W6" i="13" s="1"/>
  <c r="X6" i="13" s="1"/>
  <c r="Y6" i="13" s="1"/>
  <c r="Z6" i="13" s="1"/>
  <c r="AA6" i="13" s="1"/>
  <c r="AB6" i="13" s="1"/>
  <c r="AC6" i="13" s="1"/>
  <c r="AD6" i="13" s="1"/>
  <c r="AE6" i="13" s="1"/>
  <c r="AF6" i="13" s="1"/>
  <c r="AG6" i="13" s="1"/>
  <c r="AH6" i="13" s="1"/>
  <c r="AI6" i="13" s="1"/>
  <c r="AJ6" i="13" s="1"/>
  <c r="AK6" i="13" s="1"/>
  <c r="AL6" i="13" s="1"/>
  <c r="AM6" i="13" s="1"/>
  <c r="AN6" i="13" s="1"/>
  <c r="AO6" i="13" s="1"/>
  <c r="AP6" i="13" s="1"/>
  <c r="AQ6" i="13" s="1"/>
  <c r="AR6" i="13" s="1"/>
  <c r="AS6" i="13" s="1"/>
  <c r="AT6" i="13" s="1"/>
  <c r="AU6" i="13" s="1"/>
  <c r="AV6" i="13" s="1"/>
  <c r="AW6" i="13" s="1"/>
  <c r="AX6" i="13" s="1"/>
  <c r="AY6" i="13" s="1"/>
  <c r="AZ6" i="13" s="1"/>
  <c r="BA6" i="13" s="1"/>
  <c r="BB6" i="13" s="1"/>
  <c r="BC6" i="13" s="1"/>
  <c r="BD6" i="13" s="1"/>
  <c r="BE6" i="13" s="1"/>
  <c r="BF6" i="13" s="1"/>
  <c r="G80" i="1"/>
  <c r="L80" i="1"/>
  <c r="D3" i="5"/>
  <c r="E3" i="5" s="1"/>
  <c r="F3" i="5" s="1"/>
  <c r="G3" i="5" s="1"/>
  <c r="H3" i="5" s="1"/>
  <c r="I3" i="5" s="1"/>
  <c r="J3" i="5" s="1"/>
  <c r="K3" i="5" s="1"/>
  <c r="L3" i="5" s="1"/>
  <c r="E3" i="1"/>
  <c r="D3" i="4"/>
  <c r="K80" i="1"/>
  <c r="M80" i="1"/>
  <c r="I80" i="1"/>
  <c r="E80" i="1"/>
  <c r="R17" i="1"/>
  <c r="R21" i="1"/>
  <c r="R25" i="1"/>
  <c r="R29" i="1"/>
  <c r="R33" i="1"/>
  <c r="R37" i="1"/>
  <c r="R41" i="1"/>
  <c r="R45" i="1"/>
  <c r="R104" i="1"/>
  <c r="F3" i="1" l="1"/>
  <c r="F3" i="18"/>
  <c r="F50" i="18" s="1"/>
  <c r="P59" i="1"/>
  <c r="D3" i="11"/>
  <c r="E3" i="11" s="1"/>
  <c r="F3" i="11" s="1"/>
  <c r="G3" i="11" s="1"/>
  <c r="H3" i="11" s="1"/>
  <c r="I3" i="11" s="1"/>
  <c r="J3" i="11" s="1"/>
  <c r="K3" i="11" s="1"/>
  <c r="L3" i="11" s="1"/>
  <c r="M3" i="11" s="1"/>
  <c r="N3" i="11" s="1"/>
  <c r="O3" i="11" s="1"/>
  <c r="P3" i="11" s="1"/>
  <c r="Q3" i="11" s="1"/>
  <c r="J80" i="1"/>
  <c r="H80" i="1"/>
  <c r="F80" i="1"/>
  <c r="R58" i="5"/>
  <c r="R60" i="5"/>
  <c r="R62" i="5"/>
  <c r="R63" i="5"/>
  <c r="R64" i="5"/>
  <c r="R65" i="5"/>
  <c r="R66" i="5"/>
  <c r="R67" i="5"/>
  <c r="R68" i="5"/>
  <c r="R69" i="5"/>
  <c r="R70" i="5"/>
  <c r="R71" i="5"/>
  <c r="R72" i="5"/>
  <c r="R73" i="5"/>
  <c r="R74" i="5"/>
  <c r="R75" i="5"/>
  <c r="R76" i="5"/>
  <c r="R77" i="5"/>
  <c r="R85" i="5"/>
  <c r="R86" i="5"/>
  <c r="R87" i="5"/>
  <c r="R88" i="5"/>
  <c r="R89" i="5"/>
  <c r="R90" i="5"/>
  <c r="R91" i="5"/>
  <c r="R94" i="5"/>
  <c r="R95" i="5"/>
  <c r="R96" i="5"/>
  <c r="R97" i="5"/>
  <c r="R98" i="5"/>
  <c r="R99" i="5"/>
  <c r="R100" i="5"/>
  <c r="R101" i="5"/>
  <c r="R102" i="5"/>
  <c r="R103" i="5"/>
  <c r="R106" i="5"/>
  <c r="R109" i="5"/>
  <c r="R110" i="5"/>
  <c r="R111" i="5"/>
  <c r="R112" i="5"/>
  <c r="R113" i="5"/>
  <c r="R114" i="5"/>
  <c r="R115" i="5"/>
  <c r="L58" i="5"/>
  <c r="M58" i="5"/>
  <c r="N58" i="5"/>
  <c r="O58" i="5"/>
  <c r="P58" i="5"/>
  <c r="Q58" i="5"/>
  <c r="L59" i="5"/>
  <c r="M59" i="5"/>
  <c r="N59" i="5"/>
  <c r="O59" i="5"/>
  <c r="P59" i="5"/>
  <c r="L60" i="5"/>
  <c r="M60" i="5"/>
  <c r="N60" i="5"/>
  <c r="O60" i="5"/>
  <c r="P60" i="5"/>
  <c r="Q60" i="5"/>
  <c r="L61" i="5"/>
  <c r="M61" i="5"/>
  <c r="N61" i="5"/>
  <c r="O61" i="5"/>
  <c r="L62" i="5"/>
  <c r="M62" i="5"/>
  <c r="N62" i="5"/>
  <c r="O62" i="5"/>
  <c r="P62" i="5"/>
  <c r="Q62" i="5"/>
  <c r="L63" i="5"/>
  <c r="M63" i="5"/>
  <c r="N63" i="5"/>
  <c r="O63" i="5"/>
  <c r="P63" i="5"/>
  <c r="Q63" i="5"/>
  <c r="L64" i="5"/>
  <c r="M64" i="5"/>
  <c r="N64" i="5"/>
  <c r="O64" i="5"/>
  <c r="P64" i="5"/>
  <c r="Q64" i="5"/>
  <c r="L65" i="5"/>
  <c r="M65" i="5"/>
  <c r="N65" i="5"/>
  <c r="O65" i="5"/>
  <c r="P65" i="5"/>
  <c r="Q65" i="5"/>
  <c r="L66" i="5"/>
  <c r="M66" i="5"/>
  <c r="N66" i="5"/>
  <c r="O66" i="5"/>
  <c r="P66" i="5"/>
  <c r="Q66" i="5"/>
  <c r="L67" i="5"/>
  <c r="M67" i="5"/>
  <c r="N67" i="5"/>
  <c r="O67" i="5"/>
  <c r="P67" i="5"/>
  <c r="Q67" i="5"/>
  <c r="L68" i="5"/>
  <c r="M68" i="5"/>
  <c r="N68" i="5"/>
  <c r="O68" i="5"/>
  <c r="P68" i="5"/>
  <c r="Q68" i="5"/>
  <c r="L69" i="5"/>
  <c r="M69" i="5"/>
  <c r="N69" i="5"/>
  <c r="O69" i="5"/>
  <c r="P69" i="5"/>
  <c r="Q69" i="5"/>
  <c r="L70" i="5"/>
  <c r="M70" i="5"/>
  <c r="N70" i="5"/>
  <c r="O70" i="5"/>
  <c r="P70" i="5"/>
  <c r="Q70" i="5"/>
  <c r="L71" i="5"/>
  <c r="M71" i="5"/>
  <c r="N71" i="5"/>
  <c r="O71" i="5"/>
  <c r="P71" i="5"/>
  <c r="Q71" i="5"/>
  <c r="L72" i="5"/>
  <c r="M72" i="5"/>
  <c r="N72" i="5"/>
  <c r="O72" i="5"/>
  <c r="P72" i="5"/>
  <c r="Q72" i="5"/>
  <c r="L73" i="5"/>
  <c r="M73" i="5"/>
  <c r="N73" i="5"/>
  <c r="O73" i="5"/>
  <c r="P73" i="5"/>
  <c r="Q73" i="5"/>
  <c r="L74" i="5"/>
  <c r="M74" i="5"/>
  <c r="N74" i="5"/>
  <c r="O74" i="5"/>
  <c r="P74" i="5"/>
  <c r="Q74" i="5"/>
  <c r="L75" i="5"/>
  <c r="M75" i="5"/>
  <c r="N75" i="5"/>
  <c r="O75" i="5"/>
  <c r="P75" i="5"/>
  <c r="Q75" i="5"/>
  <c r="L76" i="5"/>
  <c r="M76" i="5"/>
  <c r="N76" i="5"/>
  <c r="O76" i="5"/>
  <c r="P76" i="5"/>
  <c r="Q76" i="5"/>
  <c r="L77" i="5"/>
  <c r="M77" i="5"/>
  <c r="N77" i="5"/>
  <c r="O77" i="5"/>
  <c r="P77" i="5"/>
  <c r="Q77" i="5"/>
  <c r="L85" i="5"/>
  <c r="M85" i="5"/>
  <c r="N85" i="5"/>
  <c r="O85" i="5"/>
  <c r="P85" i="5"/>
  <c r="Q85" i="5"/>
  <c r="L86" i="5"/>
  <c r="M86" i="5"/>
  <c r="N86" i="5"/>
  <c r="O86" i="5"/>
  <c r="P86" i="5"/>
  <c r="Q86" i="5"/>
  <c r="L87" i="5"/>
  <c r="M87" i="5"/>
  <c r="N87" i="5"/>
  <c r="O87" i="5"/>
  <c r="P87" i="5"/>
  <c r="Q87" i="5"/>
  <c r="L88" i="5"/>
  <c r="M88" i="5"/>
  <c r="N88" i="5"/>
  <c r="O88" i="5"/>
  <c r="P88" i="5"/>
  <c r="Q88" i="5"/>
  <c r="L89" i="5"/>
  <c r="M89" i="5"/>
  <c r="N89" i="5"/>
  <c r="O89" i="5"/>
  <c r="P89" i="5"/>
  <c r="Q89" i="5"/>
  <c r="L90" i="5"/>
  <c r="M90" i="5"/>
  <c r="N90" i="5"/>
  <c r="O90" i="5"/>
  <c r="P90" i="5"/>
  <c r="Q90" i="5"/>
  <c r="L91" i="5"/>
  <c r="M91" i="5"/>
  <c r="N91" i="5"/>
  <c r="O91" i="5"/>
  <c r="P91" i="5"/>
  <c r="Q91" i="5"/>
  <c r="L94" i="5"/>
  <c r="M94" i="5"/>
  <c r="N94" i="5"/>
  <c r="O94" i="5"/>
  <c r="P94" i="5"/>
  <c r="Q94" i="5"/>
  <c r="L95" i="5"/>
  <c r="M95" i="5"/>
  <c r="N95" i="5"/>
  <c r="O95" i="5"/>
  <c r="P95" i="5"/>
  <c r="Q95" i="5"/>
  <c r="L96" i="5"/>
  <c r="M96" i="5"/>
  <c r="N96" i="5"/>
  <c r="O96" i="5"/>
  <c r="P96" i="5"/>
  <c r="Q96" i="5"/>
  <c r="L97" i="5"/>
  <c r="M97" i="5"/>
  <c r="N97" i="5"/>
  <c r="O97" i="5"/>
  <c r="P97" i="5"/>
  <c r="Q97" i="5"/>
  <c r="L98" i="5"/>
  <c r="M98" i="5"/>
  <c r="N98" i="5"/>
  <c r="O98" i="5"/>
  <c r="P98" i="5"/>
  <c r="Q98" i="5"/>
  <c r="L99" i="5"/>
  <c r="M99" i="5"/>
  <c r="N99" i="5"/>
  <c r="O99" i="5"/>
  <c r="P99" i="5"/>
  <c r="Q99" i="5"/>
  <c r="L100" i="5"/>
  <c r="M100" i="5"/>
  <c r="N100" i="5"/>
  <c r="O100" i="5"/>
  <c r="P100" i="5"/>
  <c r="Q100" i="5"/>
  <c r="L101" i="5"/>
  <c r="M101" i="5"/>
  <c r="N101" i="5"/>
  <c r="O101" i="5"/>
  <c r="P101" i="5"/>
  <c r="Q101" i="5"/>
  <c r="L102" i="5"/>
  <c r="M102" i="5"/>
  <c r="N102" i="5"/>
  <c r="O102" i="5"/>
  <c r="P102" i="5"/>
  <c r="Q102" i="5"/>
  <c r="L103" i="5"/>
  <c r="M103" i="5"/>
  <c r="N103" i="5"/>
  <c r="O103" i="5"/>
  <c r="P103" i="5"/>
  <c r="Q103" i="5"/>
  <c r="L106" i="5"/>
  <c r="M106" i="5"/>
  <c r="N106" i="5"/>
  <c r="O106" i="5"/>
  <c r="P106" i="5"/>
  <c r="Q106" i="5"/>
  <c r="L109" i="5"/>
  <c r="M109" i="5"/>
  <c r="N109" i="5"/>
  <c r="O109" i="5"/>
  <c r="P109" i="5"/>
  <c r="Q109" i="5"/>
  <c r="L110" i="5"/>
  <c r="M110" i="5"/>
  <c r="N110" i="5"/>
  <c r="O110" i="5"/>
  <c r="P110" i="5"/>
  <c r="Q110" i="5"/>
  <c r="L111" i="5"/>
  <c r="M111" i="5"/>
  <c r="N111" i="5"/>
  <c r="O111" i="5"/>
  <c r="P111" i="5"/>
  <c r="Q111" i="5"/>
  <c r="L112" i="5"/>
  <c r="M112" i="5"/>
  <c r="N112" i="5"/>
  <c r="O112" i="5"/>
  <c r="P112" i="5"/>
  <c r="Q112" i="5"/>
  <c r="L113" i="5"/>
  <c r="M113" i="5"/>
  <c r="N113" i="5"/>
  <c r="O113" i="5"/>
  <c r="P113" i="5"/>
  <c r="Q113" i="5"/>
  <c r="L114" i="5"/>
  <c r="M114" i="5"/>
  <c r="N114" i="5"/>
  <c r="O114" i="5"/>
  <c r="P114" i="5"/>
  <c r="Q114" i="5"/>
  <c r="L115" i="5"/>
  <c r="M115" i="5"/>
  <c r="N115" i="5"/>
  <c r="O115" i="5"/>
  <c r="P115" i="5"/>
  <c r="Q115" i="5"/>
  <c r="Q116" i="4"/>
  <c r="Q104" i="4"/>
  <c r="Q92" i="4"/>
  <c r="Q78" i="4"/>
  <c r="Q79" i="4" s="1"/>
  <c r="Q9" i="4"/>
  <c r="Q13" i="4"/>
  <c r="Q17" i="4"/>
  <c r="Q21" i="4"/>
  <c r="Q25" i="4"/>
  <c r="Q29" i="4"/>
  <c r="Q33" i="4"/>
  <c r="Q37" i="4"/>
  <c r="Q41" i="4"/>
  <c r="Q45" i="4"/>
  <c r="G3" i="1" l="1"/>
  <c r="G3" i="18"/>
  <c r="Q59" i="1"/>
  <c r="P61" i="5"/>
  <c r="Q53" i="4"/>
  <c r="C3" i="8"/>
  <c r="D3" i="8" s="1"/>
  <c r="E3" i="8" s="1"/>
  <c r="F3" i="8" s="1"/>
  <c r="G3" i="8" s="1"/>
  <c r="H3" i="8" s="1"/>
  <c r="I3" i="8" s="1"/>
  <c r="J3" i="8" s="1"/>
  <c r="K3" i="8" s="1"/>
  <c r="L3" i="8" s="1"/>
  <c r="M3" i="8" s="1"/>
  <c r="N3" i="8" s="1"/>
  <c r="O3" i="8" s="1"/>
  <c r="P3" i="8" s="1"/>
  <c r="Q3" i="8" s="1"/>
  <c r="C41" i="8"/>
  <c r="D41" i="8" s="1"/>
  <c r="E41" i="8" s="1"/>
  <c r="F41" i="8" s="1"/>
  <c r="G41" i="8" s="1"/>
  <c r="H41" i="8" s="1"/>
  <c r="I41" i="8" s="1"/>
  <c r="J41" i="8" s="1"/>
  <c r="K41" i="8" s="1"/>
  <c r="L41" i="8" s="1"/>
  <c r="M41" i="8" s="1"/>
  <c r="N41" i="8" s="1"/>
  <c r="O41" i="8" s="1"/>
  <c r="P41" i="8" s="1"/>
  <c r="Q41" i="8" s="1"/>
  <c r="B5" i="20" l="1"/>
  <c r="G50" i="18"/>
  <c r="H3" i="1"/>
  <c r="H3" i="18"/>
  <c r="R59" i="1"/>
  <c r="Q61" i="5"/>
  <c r="Q59" i="5"/>
  <c r="D24" i="2"/>
  <c r="J39" i="2"/>
  <c r="J37" i="2"/>
  <c r="I35" i="2"/>
  <c r="I41" i="2" s="1"/>
  <c r="H35" i="2"/>
  <c r="H41" i="2" s="1"/>
  <c r="G35" i="2"/>
  <c r="G41" i="2" s="1"/>
  <c r="F35" i="2"/>
  <c r="F41" i="2" s="1"/>
  <c r="E35" i="2"/>
  <c r="E41" i="2" s="1"/>
  <c r="D35" i="2"/>
  <c r="D41" i="2" s="1"/>
  <c r="J34" i="2"/>
  <c r="J33" i="2"/>
  <c r="J32" i="2"/>
  <c r="J31" i="2"/>
  <c r="J30" i="2"/>
  <c r="J28" i="2"/>
  <c r="J26" i="2"/>
  <c r="E24" i="2"/>
  <c r="F24" i="2" s="1"/>
  <c r="G24" i="2" s="1"/>
  <c r="H24" i="2" s="1"/>
  <c r="I24" i="2" s="1"/>
  <c r="O9" i="2"/>
  <c r="O4" i="2"/>
  <c r="J9" i="2"/>
  <c r="J8" i="2"/>
  <c r="E13" i="2"/>
  <c r="E19" i="2" s="1"/>
  <c r="D47" i="11" s="1"/>
  <c r="F13" i="2"/>
  <c r="F19" i="2" s="1"/>
  <c r="G13" i="2"/>
  <c r="G19" i="2" s="1"/>
  <c r="H13" i="2"/>
  <c r="H19" i="2" s="1"/>
  <c r="G47" i="11" s="1"/>
  <c r="I13" i="2"/>
  <c r="I19" i="2" s="1"/>
  <c r="D13" i="2"/>
  <c r="D19" i="2" s="1"/>
  <c r="E65" i="17" l="1"/>
  <c r="E65" i="28"/>
  <c r="E65" i="25"/>
  <c r="C5" i="20"/>
  <c r="H50" i="18"/>
  <c r="I3" i="1"/>
  <c r="I3" i="18"/>
  <c r="E66" i="25"/>
  <c r="E66" i="17"/>
  <c r="G66" i="17" s="1"/>
  <c r="E66" i="28"/>
  <c r="R61" i="5"/>
  <c r="R78" i="1"/>
  <c r="R59" i="5"/>
  <c r="F51" i="18"/>
  <c r="F62" i="18" s="1"/>
  <c r="D7" i="8"/>
  <c r="G51" i="18"/>
  <c r="G62" i="18" s="1"/>
  <c r="G66" i="18" s="1"/>
  <c r="E7" i="8"/>
  <c r="E51" i="18"/>
  <c r="E62" i="18" s="1"/>
  <c r="E66" i="18" s="1"/>
  <c r="E68" i="18" s="1"/>
  <c r="C7" i="8"/>
  <c r="E25" i="8"/>
  <c r="E47" i="11"/>
  <c r="H25" i="8"/>
  <c r="H47" i="11"/>
  <c r="C25" i="8"/>
  <c r="C47" i="11"/>
  <c r="F25" i="8"/>
  <c r="F47" i="11"/>
  <c r="J41" i="2"/>
  <c r="C16" i="7" s="1"/>
  <c r="H44" i="2"/>
  <c r="G25" i="8"/>
  <c r="I44" i="2"/>
  <c r="G44" i="2"/>
  <c r="E44" i="2"/>
  <c r="D25" i="8"/>
  <c r="F44" i="2"/>
  <c r="J19" i="2"/>
  <c r="D44" i="2"/>
  <c r="J35" i="2"/>
  <c r="J4" i="2"/>
  <c r="O15" i="2"/>
  <c r="J15" i="2"/>
  <c r="O17" i="2"/>
  <c r="O8" i="2"/>
  <c r="O6" i="2"/>
  <c r="C6" i="7"/>
  <c r="D66" i="17" l="1"/>
  <c r="E55" i="18"/>
  <c r="E57" i="18" s="1"/>
  <c r="D5" i="20"/>
  <c r="I50" i="18"/>
  <c r="E55" i="25"/>
  <c r="E55" i="28"/>
  <c r="J3" i="1"/>
  <c r="J3" i="18"/>
  <c r="G66" i="25"/>
  <c r="D66" i="25"/>
  <c r="C31" i="19"/>
  <c r="B31" i="19" s="1"/>
  <c r="G66" i="28"/>
  <c r="D66" i="28"/>
  <c r="R79" i="1"/>
  <c r="R80" i="1" s="1"/>
  <c r="T51" i="18"/>
  <c r="G55" i="18"/>
  <c r="F55" i="18"/>
  <c r="D75" i="18" s="1"/>
  <c r="C6" i="21" s="1"/>
  <c r="I5" i="21" s="1"/>
  <c r="F66" i="18"/>
  <c r="T62" i="18"/>
  <c r="D74" i="18" s="1"/>
  <c r="C5" i="21" s="1"/>
  <c r="K41" i="2"/>
  <c r="C9" i="7"/>
  <c r="O19" i="2"/>
  <c r="O21" i="2" s="1"/>
  <c r="R3" i="13" s="1"/>
  <c r="E5" i="20" l="1"/>
  <c r="J50" i="18"/>
  <c r="C22" i="19"/>
  <c r="G55" i="28"/>
  <c r="D55" i="28"/>
  <c r="M108" i="1"/>
  <c r="E62" i="28"/>
  <c r="D55" i="25"/>
  <c r="G55" i="25"/>
  <c r="G108" i="1"/>
  <c r="E62" i="25"/>
  <c r="K3" i="1"/>
  <c r="K3" i="18"/>
  <c r="T55" i="18"/>
  <c r="F57" i="18"/>
  <c r="G57" i="18" s="1"/>
  <c r="H57" i="18" s="1"/>
  <c r="I57" i="18" s="1"/>
  <c r="J57" i="18" s="1"/>
  <c r="K57" i="18" s="1"/>
  <c r="L57" i="18" s="1"/>
  <c r="M57" i="18" s="1"/>
  <c r="N57" i="18" s="1"/>
  <c r="O57" i="18" s="1"/>
  <c r="P57" i="18" s="1"/>
  <c r="Q57" i="18" s="1"/>
  <c r="R57" i="18" s="1"/>
  <c r="S57" i="18" s="1"/>
  <c r="G78" i="18"/>
  <c r="G73" i="18"/>
  <c r="F68" i="18"/>
  <c r="T66" i="18"/>
  <c r="J17" i="2"/>
  <c r="J6" i="2"/>
  <c r="E2" i="2"/>
  <c r="F2" i="2" s="1"/>
  <c r="G2" i="2" s="1"/>
  <c r="H2" i="2" s="1"/>
  <c r="I2" i="2" s="1"/>
  <c r="D62" i="28" l="1"/>
  <c r="L3" i="1"/>
  <c r="L3" i="18"/>
  <c r="D62" i="25"/>
  <c r="G62" i="28"/>
  <c r="F5" i="20"/>
  <c r="K50" i="18"/>
  <c r="G62" i="25"/>
  <c r="G68" i="18"/>
  <c r="H68" i="18" s="1"/>
  <c r="I68" i="18" s="1"/>
  <c r="J68" i="18" s="1"/>
  <c r="K68" i="18" s="1"/>
  <c r="L68" i="18" s="1"/>
  <c r="M68" i="18" s="1"/>
  <c r="N68" i="18" s="1"/>
  <c r="O68" i="18" s="1"/>
  <c r="P68" i="18" s="1"/>
  <c r="Q68" i="18" s="1"/>
  <c r="R68" i="18" s="1"/>
  <c r="S68" i="18" s="1"/>
  <c r="C43" i="4"/>
  <c r="C39" i="4"/>
  <c r="C35" i="4"/>
  <c r="C31" i="4"/>
  <c r="C27" i="4"/>
  <c r="C23" i="4"/>
  <c r="C19" i="4"/>
  <c r="C15" i="4"/>
  <c r="C11" i="4"/>
  <c r="C7" i="4"/>
  <c r="C43" i="5"/>
  <c r="B43" i="5"/>
  <c r="C39" i="5"/>
  <c r="B39" i="5"/>
  <c r="C35" i="5"/>
  <c r="B35" i="5"/>
  <c r="C31" i="5"/>
  <c r="B31" i="5"/>
  <c r="C27" i="5"/>
  <c r="B27" i="5"/>
  <c r="C23" i="5"/>
  <c r="B23" i="5"/>
  <c r="C19" i="5"/>
  <c r="B19" i="5"/>
  <c r="C15" i="5"/>
  <c r="B15" i="5"/>
  <c r="C11" i="5"/>
  <c r="B11" i="5"/>
  <c r="C7" i="5"/>
  <c r="B7" i="5"/>
  <c r="A115" i="5"/>
  <c r="A114" i="5"/>
  <c r="A113" i="5"/>
  <c r="A112" i="5"/>
  <c r="A111" i="5"/>
  <c r="A110" i="5"/>
  <c r="A109" i="5"/>
  <c r="A108" i="5"/>
  <c r="A107" i="5"/>
  <c r="A106" i="5"/>
  <c r="B103" i="5"/>
  <c r="B102" i="5"/>
  <c r="B101" i="5"/>
  <c r="B100" i="5"/>
  <c r="B99" i="5"/>
  <c r="B98" i="5"/>
  <c r="B97" i="5"/>
  <c r="B96" i="5"/>
  <c r="B95" i="5"/>
  <c r="B94" i="5"/>
  <c r="B91" i="5"/>
  <c r="B90" i="5"/>
  <c r="B89" i="5"/>
  <c r="B88" i="5"/>
  <c r="B87" i="5"/>
  <c r="B86" i="5"/>
  <c r="B85" i="5"/>
  <c r="B84" i="5"/>
  <c r="B83" i="5"/>
  <c r="B82" i="5"/>
  <c r="B77" i="5"/>
  <c r="B76" i="5"/>
  <c r="B75" i="5"/>
  <c r="B74" i="5"/>
  <c r="B73" i="5"/>
  <c r="B72" i="5"/>
  <c r="B71" i="5"/>
  <c r="B70" i="5"/>
  <c r="B69" i="5"/>
  <c r="B68" i="5"/>
  <c r="B67" i="5"/>
  <c r="B66" i="5"/>
  <c r="B65" i="5"/>
  <c r="B64" i="5"/>
  <c r="B63" i="5"/>
  <c r="B62" i="5"/>
  <c r="B61" i="5"/>
  <c r="B60" i="5"/>
  <c r="B59" i="5"/>
  <c r="B58" i="5"/>
  <c r="A51" i="5"/>
  <c r="A50" i="5"/>
  <c r="A49" i="5"/>
  <c r="A48" i="5"/>
  <c r="A47" i="5"/>
  <c r="A43" i="5"/>
  <c r="A39" i="5"/>
  <c r="A35" i="5"/>
  <c r="A31" i="5"/>
  <c r="A27" i="5"/>
  <c r="A23" i="5"/>
  <c r="A19" i="5"/>
  <c r="A15" i="5"/>
  <c r="A107" i="4"/>
  <c r="A108" i="4"/>
  <c r="A109" i="4"/>
  <c r="A110" i="4"/>
  <c r="A111" i="4"/>
  <c r="A112" i="4"/>
  <c r="A113" i="4"/>
  <c r="A114" i="4"/>
  <c r="A115" i="4"/>
  <c r="A106" i="4"/>
  <c r="B95" i="4"/>
  <c r="B96" i="4"/>
  <c r="B97" i="4"/>
  <c r="B98" i="4"/>
  <c r="B99" i="4"/>
  <c r="B100" i="4"/>
  <c r="B101" i="4"/>
  <c r="B102" i="4"/>
  <c r="B103" i="4"/>
  <c r="B94" i="4"/>
  <c r="B91" i="4"/>
  <c r="B83" i="4"/>
  <c r="B84" i="4"/>
  <c r="B85" i="4"/>
  <c r="B86" i="4"/>
  <c r="B87" i="4"/>
  <c r="B88" i="4"/>
  <c r="B89" i="4"/>
  <c r="B90" i="4"/>
  <c r="B82" i="4"/>
  <c r="B59" i="4"/>
  <c r="B60" i="4"/>
  <c r="B61" i="4"/>
  <c r="B62" i="4"/>
  <c r="B63" i="4"/>
  <c r="B64" i="4"/>
  <c r="B65" i="4"/>
  <c r="B66" i="4"/>
  <c r="B67" i="4"/>
  <c r="B68" i="4"/>
  <c r="B69" i="4"/>
  <c r="B70" i="4"/>
  <c r="B71" i="4"/>
  <c r="B72" i="4"/>
  <c r="B73" i="4"/>
  <c r="B74" i="4"/>
  <c r="B75" i="4"/>
  <c r="B76" i="4"/>
  <c r="B77" i="4"/>
  <c r="B58" i="4"/>
  <c r="A48" i="4"/>
  <c r="A49" i="4"/>
  <c r="A50" i="4"/>
  <c r="A51" i="4"/>
  <c r="A47" i="4"/>
  <c r="B43" i="4"/>
  <c r="B39" i="4"/>
  <c r="B35" i="4"/>
  <c r="B31" i="4"/>
  <c r="B27" i="4"/>
  <c r="B23" i="4"/>
  <c r="B19" i="4"/>
  <c r="B15" i="4"/>
  <c r="B11" i="4"/>
  <c r="A43" i="4"/>
  <c r="A39" i="4"/>
  <c r="A35" i="4"/>
  <c r="A31" i="4"/>
  <c r="A27" i="4"/>
  <c r="A23" i="4"/>
  <c r="A19" i="4"/>
  <c r="A15" i="4"/>
  <c r="B7" i="4"/>
  <c r="R116" i="4"/>
  <c r="P116" i="4"/>
  <c r="O116" i="4"/>
  <c r="N116" i="4"/>
  <c r="M116" i="4"/>
  <c r="L116" i="4"/>
  <c r="K116" i="4"/>
  <c r="J116" i="4"/>
  <c r="I116" i="4"/>
  <c r="H116" i="4"/>
  <c r="G116" i="4"/>
  <c r="F116" i="4"/>
  <c r="E116" i="4"/>
  <c r="D116" i="4"/>
  <c r="R104" i="4"/>
  <c r="P104" i="4"/>
  <c r="O104" i="4"/>
  <c r="N104" i="4"/>
  <c r="M104" i="4"/>
  <c r="L104" i="4"/>
  <c r="K104" i="4"/>
  <c r="K104" i="5" s="1"/>
  <c r="J104" i="4"/>
  <c r="J104" i="5" s="1"/>
  <c r="I104" i="4"/>
  <c r="I104" i="5" s="1"/>
  <c r="H104" i="4"/>
  <c r="H104" i="5" s="1"/>
  <c r="G104" i="4"/>
  <c r="G104" i="5" s="1"/>
  <c r="F104" i="4"/>
  <c r="F104" i="5" s="1"/>
  <c r="E104" i="4"/>
  <c r="E104" i="5" s="1"/>
  <c r="D104" i="4"/>
  <c r="R92" i="4"/>
  <c r="P92" i="4"/>
  <c r="O92" i="4"/>
  <c r="N92" i="4"/>
  <c r="M92" i="4"/>
  <c r="L92" i="4"/>
  <c r="K92" i="4"/>
  <c r="J92" i="4"/>
  <c r="I92" i="4"/>
  <c r="H92" i="4"/>
  <c r="G92" i="4"/>
  <c r="F92" i="4"/>
  <c r="E92" i="4"/>
  <c r="D92" i="4"/>
  <c r="R78" i="4"/>
  <c r="R79" i="4" s="1"/>
  <c r="P78" i="4"/>
  <c r="P79" i="4" s="1"/>
  <c r="O78" i="4"/>
  <c r="O79" i="4" s="1"/>
  <c r="N78" i="4"/>
  <c r="N79" i="4" s="1"/>
  <c r="M78" i="4"/>
  <c r="M79" i="4" s="1"/>
  <c r="L78" i="4"/>
  <c r="L79" i="4" s="1"/>
  <c r="K78" i="4"/>
  <c r="J78" i="4"/>
  <c r="I78" i="4"/>
  <c r="H78" i="4"/>
  <c r="G78" i="4"/>
  <c r="F78" i="4"/>
  <c r="E78" i="4"/>
  <c r="D78" i="4"/>
  <c r="D79" i="4" s="1"/>
  <c r="R45" i="4"/>
  <c r="R45" i="5" s="1"/>
  <c r="P45" i="4"/>
  <c r="O45" i="4"/>
  <c r="N45" i="4"/>
  <c r="M45" i="4"/>
  <c r="L45" i="4"/>
  <c r="K45" i="4"/>
  <c r="J45" i="4"/>
  <c r="I45" i="4"/>
  <c r="H45" i="4"/>
  <c r="H45" i="5" s="1"/>
  <c r="G45" i="4"/>
  <c r="G45" i="5" s="1"/>
  <c r="F45" i="4"/>
  <c r="F45" i="5" s="1"/>
  <c r="E45" i="4"/>
  <c r="E45" i="5" s="1"/>
  <c r="D45" i="4"/>
  <c r="R41" i="4"/>
  <c r="R41" i="5" s="1"/>
  <c r="P41" i="4"/>
  <c r="O41" i="4"/>
  <c r="N41" i="4"/>
  <c r="M41" i="4"/>
  <c r="L41" i="4"/>
  <c r="L41" i="5" s="1"/>
  <c r="K41" i="4"/>
  <c r="K41" i="5" s="1"/>
  <c r="J41" i="4"/>
  <c r="J41" i="5" s="1"/>
  <c r="I41" i="4"/>
  <c r="I41" i="5" s="1"/>
  <c r="H41" i="4"/>
  <c r="H41" i="5" s="1"/>
  <c r="G41" i="4"/>
  <c r="G41" i="5" s="1"/>
  <c r="F41" i="4"/>
  <c r="F41" i="5" s="1"/>
  <c r="E41" i="4"/>
  <c r="E41" i="5" s="1"/>
  <c r="D41" i="4"/>
  <c r="R37" i="4"/>
  <c r="R37" i="5" s="1"/>
  <c r="P37" i="4"/>
  <c r="O37" i="4"/>
  <c r="N37" i="4"/>
  <c r="M37" i="4"/>
  <c r="L37" i="4"/>
  <c r="L37" i="5" s="1"/>
  <c r="K37" i="4"/>
  <c r="K37" i="5" s="1"/>
  <c r="J37" i="4"/>
  <c r="J37" i="5" s="1"/>
  <c r="I37" i="4"/>
  <c r="I37" i="5" s="1"/>
  <c r="H37" i="4"/>
  <c r="H37" i="5" s="1"/>
  <c r="G37" i="4"/>
  <c r="G37" i="5" s="1"/>
  <c r="F37" i="4"/>
  <c r="F37" i="5" s="1"/>
  <c r="E37" i="4"/>
  <c r="E37" i="5" s="1"/>
  <c r="D37" i="4"/>
  <c r="R33" i="4"/>
  <c r="R33" i="5" s="1"/>
  <c r="P33" i="4"/>
  <c r="O33" i="4"/>
  <c r="N33" i="4"/>
  <c r="M33" i="4"/>
  <c r="L33" i="4"/>
  <c r="L33" i="5" s="1"/>
  <c r="K33" i="4"/>
  <c r="K33" i="5" s="1"/>
  <c r="J33" i="4"/>
  <c r="J33" i="5" s="1"/>
  <c r="I33" i="4"/>
  <c r="I33" i="5" s="1"/>
  <c r="H33" i="4"/>
  <c r="H33" i="5" s="1"/>
  <c r="G33" i="4"/>
  <c r="G33" i="5" s="1"/>
  <c r="F33" i="4"/>
  <c r="F33" i="5" s="1"/>
  <c r="E33" i="4"/>
  <c r="E33" i="5" s="1"/>
  <c r="D33" i="4"/>
  <c r="R29" i="4"/>
  <c r="R29" i="5" s="1"/>
  <c r="P29" i="4"/>
  <c r="O29" i="4"/>
  <c r="N29" i="4"/>
  <c r="M29" i="4"/>
  <c r="L29" i="4"/>
  <c r="L29" i="5" s="1"/>
  <c r="K29" i="4"/>
  <c r="K29" i="5" s="1"/>
  <c r="J29" i="4"/>
  <c r="J29" i="5" s="1"/>
  <c r="I29" i="4"/>
  <c r="I29" i="5" s="1"/>
  <c r="H29" i="4"/>
  <c r="H29" i="5" s="1"/>
  <c r="G29" i="4"/>
  <c r="G29" i="5" s="1"/>
  <c r="F29" i="4"/>
  <c r="F29" i="5" s="1"/>
  <c r="E29" i="4"/>
  <c r="E29" i="5" s="1"/>
  <c r="D29" i="4"/>
  <c r="R25" i="4"/>
  <c r="R25" i="5" s="1"/>
  <c r="P25" i="4"/>
  <c r="O25" i="4"/>
  <c r="N25" i="4"/>
  <c r="M25" i="4"/>
  <c r="L25" i="4"/>
  <c r="L25" i="5" s="1"/>
  <c r="K25" i="4"/>
  <c r="K25" i="5" s="1"/>
  <c r="J25" i="4"/>
  <c r="J25" i="5" s="1"/>
  <c r="I25" i="4"/>
  <c r="I25" i="5" s="1"/>
  <c r="H25" i="4"/>
  <c r="H25" i="5" s="1"/>
  <c r="G25" i="4"/>
  <c r="G25" i="5" s="1"/>
  <c r="F25" i="4"/>
  <c r="F25" i="5" s="1"/>
  <c r="E25" i="4"/>
  <c r="E25" i="5" s="1"/>
  <c r="D25" i="4"/>
  <c r="R21" i="4"/>
  <c r="R21" i="5" s="1"/>
  <c r="P21" i="4"/>
  <c r="O21" i="4"/>
  <c r="N21" i="4"/>
  <c r="M21" i="4"/>
  <c r="L21" i="4"/>
  <c r="L21" i="5" s="1"/>
  <c r="K21" i="4"/>
  <c r="K21" i="5" s="1"/>
  <c r="J21" i="4"/>
  <c r="J21" i="5" s="1"/>
  <c r="I21" i="4"/>
  <c r="I21" i="5" s="1"/>
  <c r="H21" i="4"/>
  <c r="H21" i="5" s="1"/>
  <c r="G21" i="4"/>
  <c r="G21" i="5" s="1"/>
  <c r="F21" i="4"/>
  <c r="F21" i="5" s="1"/>
  <c r="E21" i="4"/>
  <c r="E21" i="5" s="1"/>
  <c r="D21" i="4"/>
  <c r="R17" i="4"/>
  <c r="R17" i="5" s="1"/>
  <c r="P17" i="4"/>
  <c r="O17" i="4"/>
  <c r="N17" i="4"/>
  <c r="M17" i="4"/>
  <c r="L17" i="4"/>
  <c r="L17" i="5" s="1"/>
  <c r="K17" i="4"/>
  <c r="K17" i="5" s="1"/>
  <c r="J17" i="4"/>
  <c r="J17" i="5" s="1"/>
  <c r="I17" i="4"/>
  <c r="I17" i="5" s="1"/>
  <c r="H17" i="4"/>
  <c r="H17" i="5" s="1"/>
  <c r="G17" i="4"/>
  <c r="G17" i="5" s="1"/>
  <c r="F17" i="4"/>
  <c r="F17" i="5" s="1"/>
  <c r="E17" i="4"/>
  <c r="E17" i="5" s="1"/>
  <c r="D17" i="4"/>
  <c r="R13" i="4"/>
  <c r="P13" i="4"/>
  <c r="O13" i="4"/>
  <c r="N13" i="4"/>
  <c r="M13" i="4"/>
  <c r="L13" i="4"/>
  <c r="K13" i="4"/>
  <c r="J13" i="4"/>
  <c r="I13" i="4"/>
  <c r="H13" i="4"/>
  <c r="G13" i="4"/>
  <c r="F13" i="4"/>
  <c r="E13" i="4"/>
  <c r="D13" i="4"/>
  <c r="R9" i="4"/>
  <c r="P9" i="4"/>
  <c r="O9" i="4"/>
  <c r="N9" i="4"/>
  <c r="M9" i="4"/>
  <c r="L9" i="4"/>
  <c r="K9" i="4"/>
  <c r="J9" i="4"/>
  <c r="I9" i="4"/>
  <c r="H9" i="4"/>
  <c r="G9" i="4"/>
  <c r="F9" i="4"/>
  <c r="E9" i="4"/>
  <c r="D9" i="4"/>
  <c r="H24" i="25" l="1"/>
  <c r="H57" i="25"/>
  <c r="H16" i="25"/>
  <c r="H32" i="25"/>
  <c r="H26" i="25"/>
  <c r="H28" i="25"/>
  <c r="H22" i="25"/>
  <c r="H8" i="25"/>
  <c r="H36" i="25"/>
  <c r="H39" i="25"/>
  <c r="H7" i="25"/>
  <c r="H21" i="25"/>
  <c r="H25" i="25"/>
  <c r="H6" i="25"/>
  <c r="H33" i="25"/>
  <c r="H23" i="25"/>
  <c r="H27" i="25"/>
  <c r="H31" i="25"/>
  <c r="H37" i="25"/>
  <c r="H18" i="25"/>
  <c r="H30" i="25"/>
  <c r="H38" i="25"/>
  <c r="H59" i="25"/>
  <c r="H15" i="25"/>
  <c r="H34" i="25"/>
  <c r="H35" i="25"/>
  <c r="H29" i="25"/>
  <c r="H20" i="25"/>
  <c r="H49" i="25"/>
  <c r="H52" i="25"/>
  <c r="H10" i="25"/>
  <c r="H45" i="25"/>
  <c r="H51" i="25"/>
  <c r="H54" i="25"/>
  <c r="H58" i="25"/>
  <c r="H50" i="25"/>
  <c r="H44" i="25"/>
  <c r="H11" i="25"/>
  <c r="H56" i="25"/>
  <c r="H19" i="25"/>
  <c r="H9" i="25"/>
  <c r="H48" i="25"/>
  <c r="H5" i="25"/>
  <c r="H17" i="25"/>
  <c r="H14" i="25"/>
  <c r="H4" i="25"/>
  <c r="E69" i="25"/>
  <c r="E71" i="25" s="1"/>
  <c r="D71" i="25" s="1"/>
  <c r="G65" i="25"/>
  <c r="G69" i="25" s="1"/>
  <c r="G71" i="25" s="1"/>
  <c r="H60" i="25" s="1"/>
  <c r="D65" i="25"/>
  <c r="D69" i="25" s="1"/>
  <c r="H55" i="25"/>
  <c r="C30" i="19"/>
  <c r="E69" i="28"/>
  <c r="E71" i="28" s="1"/>
  <c r="D71" i="28" s="1"/>
  <c r="G65" i="28"/>
  <c r="G69" i="28" s="1"/>
  <c r="G71" i="28" s="1"/>
  <c r="H60" i="28" s="1"/>
  <c r="D65" i="28"/>
  <c r="D69" i="28" s="1"/>
  <c r="G5" i="20"/>
  <c r="L50" i="18"/>
  <c r="H23" i="28"/>
  <c r="H29" i="28"/>
  <c r="H57" i="28"/>
  <c r="H26" i="28"/>
  <c r="H24" i="28"/>
  <c r="H27" i="28"/>
  <c r="H6" i="28"/>
  <c r="H36" i="28"/>
  <c r="H7" i="28"/>
  <c r="H31" i="28"/>
  <c r="H28" i="28"/>
  <c r="H39" i="28"/>
  <c r="H22" i="28"/>
  <c r="H38" i="28"/>
  <c r="H15" i="28"/>
  <c r="H21" i="28"/>
  <c r="H32" i="28"/>
  <c r="H18" i="28"/>
  <c r="H25" i="28"/>
  <c r="H35" i="28"/>
  <c r="H8" i="28"/>
  <c r="H30" i="28"/>
  <c r="H59" i="28"/>
  <c r="H34" i="28"/>
  <c r="H33" i="28"/>
  <c r="H37" i="28"/>
  <c r="H16" i="28"/>
  <c r="H19" i="28"/>
  <c r="H11" i="28"/>
  <c r="H50" i="28"/>
  <c r="H51" i="28"/>
  <c r="H45" i="28"/>
  <c r="H20" i="28"/>
  <c r="H54" i="28"/>
  <c r="H49" i="28"/>
  <c r="H44" i="28"/>
  <c r="H17" i="28"/>
  <c r="H52" i="28"/>
  <c r="H58" i="28"/>
  <c r="H56" i="28"/>
  <c r="H48" i="28"/>
  <c r="H10" i="28"/>
  <c r="H14" i="28"/>
  <c r="H9" i="28"/>
  <c r="H5" i="28"/>
  <c r="H4" i="28"/>
  <c r="M3" i="1"/>
  <c r="M3" i="18"/>
  <c r="H55" i="28"/>
  <c r="E69" i="17"/>
  <c r="G65" i="17"/>
  <c r="G69" i="17" s="1"/>
  <c r="D65" i="17"/>
  <c r="D69" i="17" s="1"/>
  <c r="D76" i="18"/>
  <c r="C7" i="21" s="1"/>
  <c r="T68" i="18"/>
  <c r="D73" i="18" s="1"/>
  <c r="C4" i="21" s="1"/>
  <c r="E78" i="5"/>
  <c r="E79" i="4"/>
  <c r="E79" i="5" s="1"/>
  <c r="I78" i="5"/>
  <c r="I79" i="4"/>
  <c r="I79" i="5" s="1"/>
  <c r="F78" i="5"/>
  <c r="F79" i="4"/>
  <c r="F79" i="5" s="1"/>
  <c r="J78" i="5"/>
  <c r="J79" i="4"/>
  <c r="J79" i="5" s="1"/>
  <c r="G78" i="5"/>
  <c r="G79" i="4"/>
  <c r="G79" i="5" s="1"/>
  <c r="K78" i="5"/>
  <c r="K79" i="4"/>
  <c r="H78" i="5"/>
  <c r="H79" i="4"/>
  <c r="H79" i="5" s="1"/>
  <c r="Q80" i="4"/>
  <c r="Q118" i="4" s="1"/>
  <c r="Q121" i="4" s="1"/>
  <c r="D53" i="4"/>
  <c r="F53" i="4"/>
  <c r="H53" i="4"/>
  <c r="J53" i="4"/>
  <c r="L53" i="4"/>
  <c r="N53" i="4"/>
  <c r="P53" i="4"/>
  <c r="R53" i="4"/>
  <c r="E53" i="4"/>
  <c r="G53" i="4"/>
  <c r="I53" i="4"/>
  <c r="K53" i="4"/>
  <c r="M53" i="4"/>
  <c r="O53" i="4"/>
  <c r="M80" i="4"/>
  <c r="M118" i="4" s="1"/>
  <c r="O80" i="4"/>
  <c r="O118" i="4" s="1"/>
  <c r="L80" i="4"/>
  <c r="L118" i="4" s="1"/>
  <c r="N80" i="4"/>
  <c r="N118" i="4" s="1"/>
  <c r="P80" i="4"/>
  <c r="P118" i="4" s="1"/>
  <c r="R80" i="4"/>
  <c r="R118" i="4" s="1"/>
  <c r="D104" i="1"/>
  <c r="D104" i="5" s="1"/>
  <c r="L104" i="5"/>
  <c r="M104" i="1"/>
  <c r="M104" i="5" s="1"/>
  <c r="N104" i="1"/>
  <c r="N104" i="5" s="1"/>
  <c r="O104" i="1"/>
  <c r="O104" i="5" s="1"/>
  <c r="P104" i="1"/>
  <c r="P104" i="5" s="1"/>
  <c r="Q104" i="1"/>
  <c r="Q104" i="5" s="1"/>
  <c r="R104" i="5"/>
  <c r="L78" i="5"/>
  <c r="M78" i="5"/>
  <c r="N78" i="1"/>
  <c r="N79" i="1" s="1"/>
  <c r="O78" i="1"/>
  <c r="O79" i="1" s="1"/>
  <c r="P78" i="1"/>
  <c r="P79" i="1" s="1"/>
  <c r="Q78" i="1"/>
  <c r="Q79" i="1" s="1"/>
  <c r="R78" i="5"/>
  <c r="M79" i="5"/>
  <c r="D45" i="1"/>
  <c r="D45" i="5" s="1"/>
  <c r="M45" i="1"/>
  <c r="M45" i="5" s="1"/>
  <c r="N45" i="1"/>
  <c r="N45" i="5" s="1"/>
  <c r="O45" i="1"/>
  <c r="O45" i="5" s="1"/>
  <c r="P45" i="1"/>
  <c r="P45" i="5" s="1"/>
  <c r="Q45" i="1"/>
  <c r="Q45" i="5" s="1"/>
  <c r="D17" i="1"/>
  <c r="D17" i="5" s="1"/>
  <c r="M17" i="1"/>
  <c r="M17" i="5" s="1"/>
  <c r="N17" i="1"/>
  <c r="N17" i="5" s="1"/>
  <c r="O17" i="1"/>
  <c r="O17" i="5" s="1"/>
  <c r="P17" i="1"/>
  <c r="P17" i="5" s="1"/>
  <c r="Q17" i="1"/>
  <c r="Q17" i="5" s="1"/>
  <c r="D21" i="1"/>
  <c r="D21" i="5" s="1"/>
  <c r="M21" i="1"/>
  <c r="M21" i="5" s="1"/>
  <c r="N21" i="1"/>
  <c r="N21" i="5" s="1"/>
  <c r="O21" i="1"/>
  <c r="O21" i="5" s="1"/>
  <c r="P21" i="1"/>
  <c r="P21" i="5" s="1"/>
  <c r="Q21" i="1"/>
  <c r="Q21" i="5" s="1"/>
  <c r="D25" i="1"/>
  <c r="D25" i="5" s="1"/>
  <c r="M25" i="1"/>
  <c r="M25" i="5" s="1"/>
  <c r="N25" i="1"/>
  <c r="N25" i="5" s="1"/>
  <c r="O25" i="1"/>
  <c r="O25" i="5" s="1"/>
  <c r="P25" i="1"/>
  <c r="P25" i="5" s="1"/>
  <c r="Q25" i="1"/>
  <c r="Q25" i="5" s="1"/>
  <c r="D29" i="1"/>
  <c r="D29" i="5" s="1"/>
  <c r="M29" i="1"/>
  <c r="M29" i="5" s="1"/>
  <c r="N29" i="1"/>
  <c r="N29" i="5" s="1"/>
  <c r="O29" i="1"/>
  <c r="O29" i="5" s="1"/>
  <c r="P29" i="1"/>
  <c r="P29" i="5" s="1"/>
  <c r="Q29" i="1"/>
  <c r="Q29" i="5" s="1"/>
  <c r="D33" i="1"/>
  <c r="D33" i="5" s="1"/>
  <c r="M33" i="1"/>
  <c r="M33" i="5" s="1"/>
  <c r="N33" i="1"/>
  <c r="N33" i="5" s="1"/>
  <c r="O33" i="1"/>
  <c r="O33" i="5" s="1"/>
  <c r="P33" i="1"/>
  <c r="P33" i="5" s="1"/>
  <c r="Q33" i="1"/>
  <c r="Q33" i="5" s="1"/>
  <c r="D37" i="1"/>
  <c r="D37" i="5" s="1"/>
  <c r="M37" i="1"/>
  <c r="M37" i="5" s="1"/>
  <c r="N37" i="1"/>
  <c r="N37" i="5" s="1"/>
  <c r="O37" i="1"/>
  <c r="O37" i="5" s="1"/>
  <c r="P37" i="1"/>
  <c r="P37" i="5" s="1"/>
  <c r="Q37" i="1"/>
  <c r="Q37" i="5" s="1"/>
  <c r="D41" i="1"/>
  <c r="D41" i="5" s="1"/>
  <c r="M41" i="1"/>
  <c r="M41" i="5" s="1"/>
  <c r="N41" i="1"/>
  <c r="N41" i="5" s="1"/>
  <c r="O41" i="1"/>
  <c r="O41" i="5" s="1"/>
  <c r="P41" i="1"/>
  <c r="P41" i="5" s="1"/>
  <c r="Q41" i="1"/>
  <c r="Q41" i="5" s="1"/>
  <c r="B30" i="19" l="1"/>
  <c r="B29" i="19" s="1"/>
  <c r="C29" i="19"/>
  <c r="H5" i="20"/>
  <c r="M50" i="18"/>
  <c r="N3" i="1"/>
  <c r="N3" i="18"/>
  <c r="D78" i="5"/>
  <c r="D79" i="1"/>
  <c r="D79" i="5" s="1"/>
  <c r="Q78" i="5"/>
  <c r="Q79" i="5"/>
  <c r="N78" i="5"/>
  <c r="N79" i="5"/>
  <c r="P78" i="5"/>
  <c r="P80" i="1"/>
  <c r="P80" i="5" s="1"/>
  <c r="O78" i="5"/>
  <c r="O79" i="5"/>
  <c r="P121" i="4"/>
  <c r="N121" i="4"/>
  <c r="R79" i="5"/>
  <c r="L121" i="4"/>
  <c r="K80" i="4"/>
  <c r="K79" i="5"/>
  <c r="L79" i="5"/>
  <c r="J80" i="4"/>
  <c r="J80" i="5" s="1"/>
  <c r="F80" i="4"/>
  <c r="I80" i="4"/>
  <c r="I80" i="5" s="1"/>
  <c r="E80" i="4"/>
  <c r="E80" i="5" s="1"/>
  <c r="H80" i="4"/>
  <c r="H80" i="5" s="1"/>
  <c r="D80" i="4"/>
  <c r="D118" i="4" s="1"/>
  <c r="D121" i="4" s="1"/>
  <c r="D124" i="4" s="1"/>
  <c r="G80" i="4"/>
  <c r="G80" i="5" s="1"/>
  <c r="R121" i="4"/>
  <c r="E3" i="4"/>
  <c r="F3" i="4" s="1"/>
  <c r="G3" i="4" s="1"/>
  <c r="H3" i="4" s="1"/>
  <c r="I3" i="4" s="1"/>
  <c r="J3" i="4" s="1"/>
  <c r="K3" i="4" s="1"/>
  <c r="L3" i="4" s="1"/>
  <c r="M3" i="4" s="1"/>
  <c r="N3" i="4" s="1"/>
  <c r="O3" i="4" s="1"/>
  <c r="P3" i="4" s="1"/>
  <c r="Q3" i="4" s="1"/>
  <c r="R3" i="4" s="1"/>
  <c r="M3" i="5"/>
  <c r="N3" i="5" s="1"/>
  <c r="O3" i="5" s="1"/>
  <c r="P3" i="5" s="1"/>
  <c r="Q3" i="5" s="1"/>
  <c r="R3" i="5" s="1"/>
  <c r="O121" i="4"/>
  <c r="M121" i="4"/>
  <c r="L80" i="5"/>
  <c r="R80" i="5"/>
  <c r="M80" i="5"/>
  <c r="I5" i="20" l="1"/>
  <c r="N50" i="18"/>
  <c r="O3" i="1"/>
  <c r="O3" i="18"/>
  <c r="O80" i="1"/>
  <c r="O80" i="5" s="1"/>
  <c r="P79" i="5"/>
  <c r="N80" i="1"/>
  <c r="N80" i="5" s="1"/>
  <c r="Q80" i="1"/>
  <c r="Q80" i="5" s="1"/>
  <c r="F118" i="4"/>
  <c r="F121" i="4" s="1"/>
  <c r="F80" i="5"/>
  <c r="K118" i="4"/>
  <c r="K121" i="4" s="1"/>
  <c r="K80" i="5"/>
  <c r="G118" i="4"/>
  <c r="G121" i="4" s="1"/>
  <c r="H118" i="4"/>
  <c r="H121" i="4" s="1"/>
  <c r="E118" i="4"/>
  <c r="E121" i="4" s="1"/>
  <c r="E124" i="4" s="1"/>
  <c r="I118" i="4"/>
  <c r="I121" i="4" s="1"/>
  <c r="J118" i="4"/>
  <c r="J121" i="4" s="1"/>
  <c r="D80" i="1"/>
  <c r="D80" i="5" s="1"/>
  <c r="J5" i="20" l="1"/>
  <c r="O50" i="18"/>
  <c r="P3" i="1"/>
  <c r="P3" i="18"/>
  <c r="F124" i="4"/>
  <c r="G124" i="4" s="1"/>
  <c r="H124" i="4" s="1"/>
  <c r="I124" i="4" s="1"/>
  <c r="J124" i="4" s="1"/>
  <c r="K124" i="4" s="1"/>
  <c r="L124" i="4" s="1"/>
  <c r="M124" i="4" s="1"/>
  <c r="N124" i="4" s="1"/>
  <c r="O124" i="4" s="1"/>
  <c r="P124" i="4" s="1"/>
  <c r="Q124" i="4" s="1"/>
  <c r="R124" i="4" s="1"/>
  <c r="Q3" i="1" l="1"/>
  <c r="Q3" i="18"/>
  <c r="Q50" i="18" s="1"/>
  <c r="K5" i="20"/>
  <c r="P50" i="18"/>
  <c r="D9" i="7"/>
  <c r="J13" i="2"/>
  <c r="E55" i="17" s="1"/>
  <c r="I108" i="1" s="1"/>
  <c r="R3" i="1" l="1"/>
  <c r="R3" i="18"/>
  <c r="R50" i="18" s="1"/>
  <c r="D55" i="17"/>
  <c r="G55" i="17"/>
  <c r="J44" i="2"/>
  <c r="K44" i="2" s="1"/>
  <c r="S3" i="18" l="1"/>
  <c r="S50" i="18" s="1"/>
  <c r="S3" i="1"/>
  <c r="D108" i="5"/>
  <c r="B22" i="19"/>
  <c r="E108" i="5" l="1"/>
  <c r="F108" i="5" l="1"/>
  <c r="H108" i="1" l="1"/>
  <c r="G108" i="5"/>
  <c r="H108" i="5" l="1"/>
  <c r="J108" i="1" l="1"/>
  <c r="I108" i="5"/>
  <c r="K108" i="1" l="1"/>
  <c r="J108" i="5"/>
  <c r="L108" i="1" l="1"/>
  <c r="K108" i="5"/>
  <c r="L108" i="5" l="1"/>
  <c r="N108" i="1" l="1"/>
  <c r="M108" i="5"/>
  <c r="O108" i="1" l="1"/>
  <c r="N108" i="5"/>
  <c r="P108" i="1" l="1"/>
  <c r="O108" i="5"/>
  <c r="Q108" i="1" l="1"/>
  <c r="P108" i="5"/>
  <c r="R108" i="1" l="1"/>
  <c r="Q108" i="5"/>
  <c r="R108" i="5" l="1"/>
  <c r="D8" i="5" l="1"/>
  <c r="A7" i="5"/>
  <c r="A7" i="4"/>
  <c r="A11" i="5"/>
  <c r="D35" i="15"/>
  <c r="E27" i="15"/>
  <c r="E28" i="15" s="1"/>
  <c r="C35" i="15"/>
  <c r="D27" i="15"/>
  <c r="D28" i="15" s="1"/>
  <c r="D9" i="1" l="1"/>
  <c r="D9" i="5" s="1"/>
  <c r="E35" i="15"/>
  <c r="E36" i="15" s="1"/>
  <c r="F9" i="1"/>
  <c r="D37" i="15"/>
  <c r="A11" i="4"/>
  <c r="C48" i="15"/>
  <c r="C37" i="15"/>
  <c r="C16" i="17" l="1"/>
  <c r="E37" i="15"/>
  <c r="E38" i="15" s="1"/>
  <c r="E8" i="17"/>
  <c r="G8" i="17" s="1"/>
  <c r="C49" i="15"/>
  <c r="F8" i="5"/>
  <c r="G9" i="1"/>
  <c r="D36" i="15"/>
  <c r="E8" i="5"/>
  <c r="C36" i="15"/>
  <c r="E9" i="1"/>
  <c r="E9" i="5" s="1"/>
  <c r="F9" i="5"/>
  <c r="D38" i="15" l="1"/>
  <c r="G45" i="17" s="1"/>
  <c r="C38" i="15"/>
  <c r="F44" i="17" s="1"/>
  <c r="C19" i="17"/>
  <c r="E19" i="17" s="1"/>
  <c r="G19" i="17" s="1"/>
  <c r="G17" i="17" s="1"/>
  <c r="G14" i="17" s="1"/>
  <c r="E11" i="17"/>
  <c r="G11" i="17" s="1"/>
  <c r="C18" i="17"/>
  <c r="E7" i="17"/>
  <c r="G8" i="5"/>
  <c r="H8" i="1"/>
  <c r="C22" i="17"/>
  <c r="C21" i="17"/>
  <c r="E16" i="17"/>
  <c r="C15" i="17"/>
  <c r="G9" i="5"/>
  <c r="H9" i="1" l="1"/>
  <c r="I8" i="1"/>
  <c r="J8" i="1" s="1"/>
  <c r="F49" i="17"/>
  <c r="G49" i="17"/>
  <c r="G58" i="17"/>
  <c r="G56" i="17" s="1"/>
  <c r="F51" i="17"/>
  <c r="G51" i="17"/>
  <c r="F50" i="17"/>
  <c r="G44" i="17"/>
  <c r="G43" i="17" s="1"/>
  <c r="G52" i="17"/>
  <c r="F45" i="17"/>
  <c r="F43" i="17" s="1"/>
  <c r="H42" i="16" s="1"/>
  <c r="F52" i="17"/>
  <c r="G50" i="17"/>
  <c r="F58" i="17"/>
  <c r="F56" i="17" s="1"/>
  <c r="H45" i="16" s="1"/>
  <c r="G45" i="16" s="1"/>
  <c r="C17" i="17"/>
  <c r="C14" i="17" s="1"/>
  <c r="E18" i="17"/>
  <c r="E10" i="17"/>
  <c r="H8" i="5"/>
  <c r="C20" i="17"/>
  <c r="E20" i="17" s="1"/>
  <c r="I84" i="1" s="1"/>
  <c r="E15" i="17"/>
  <c r="F16" i="17"/>
  <c r="F15" i="17" s="1"/>
  <c r="E6" i="17"/>
  <c r="F7" i="17"/>
  <c r="F6" i="17" s="1"/>
  <c r="H9" i="5"/>
  <c r="G48" i="17" l="1"/>
  <c r="F48" i="17"/>
  <c r="H43" i="16" s="1"/>
  <c r="G43" i="16" s="1"/>
  <c r="I8" i="5"/>
  <c r="F10" i="17"/>
  <c r="F9" i="17" s="1"/>
  <c r="F5" i="17" s="1"/>
  <c r="H39" i="16" s="1"/>
  <c r="E9" i="17"/>
  <c r="E5" i="17" s="1"/>
  <c r="I82" i="1" s="1"/>
  <c r="I9" i="1"/>
  <c r="I9" i="5" s="1"/>
  <c r="F18" i="17"/>
  <c r="F17" i="17" s="1"/>
  <c r="F14" i="17" s="1"/>
  <c r="H40" i="16" s="1"/>
  <c r="G40" i="16" s="1"/>
  <c r="E17" i="17"/>
  <c r="E14" i="17" s="1"/>
  <c r="I83" i="1" s="1"/>
  <c r="G7" i="17"/>
  <c r="G20" i="17"/>
  <c r="F20" i="17"/>
  <c r="G42" i="16"/>
  <c r="G6" i="17"/>
  <c r="K8" i="1"/>
  <c r="J9" i="1"/>
  <c r="J8" i="5"/>
  <c r="G10" i="17" l="1"/>
  <c r="G9" i="17" s="1"/>
  <c r="E4" i="17"/>
  <c r="D4" i="17" s="1"/>
  <c r="D83" i="5"/>
  <c r="G39" i="16"/>
  <c r="D84" i="5"/>
  <c r="H41" i="16"/>
  <c r="F4" i="17"/>
  <c r="E83" i="5"/>
  <c r="D82" i="5"/>
  <c r="D92" i="1"/>
  <c r="G5" i="17"/>
  <c r="J9" i="5"/>
  <c r="L8" i="1"/>
  <c r="M8" i="1" s="1"/>
  <c r="N8" i="1" s="1"/>
  <c r="O8" i="1" s="1"/>
  <c r="P8" i="1" s="1"/>
  <c r="Q8" i="1" s="1"/>
  <c r="R8" i="1" s="1"/>
  <c r="K8" i="5"/>
  <c r="K9" i="1"/>
  <c r="B14" i="19" l="1"/>
  <c r="G4" i="17"/>
  <c r="E84" i="5"/>
  <c r="E82" i="5"/>
  <c r="E92" i="1"/>
  <c r="F83" i="5"/>
  <c r="D92" i="5"/>
  <c r="G41" i="16"/>
  <c r="L8" i="5"/>
  <c r="L9" i="1"/>
  <c r="K9" i="5"/>
  <c r="H83" i="1" l="1"/>
  <c r="G83" i="5"/>
  <c r="E92" i="5"/>
  <c r="F82" i="5"/>
  <c r="F92" i="1"/>
  <c r="F84" i="5"/>
  <c r="L9" i="5"/>
  <c r="M9" i="1"/>
  <c r="M8" i="5"/>
  <c r="H82" i="1" l="1"/>
  <c r="G82" i="5"/>
  <c r="G92" i="1"/>
  <c r="F92" i="5"/>
  <c r="G84" i="5"/>
  <c r="H84" i="1"/>
  <c r="H83" i="5"/>
  <c r="M9" i="5"/>
  <c r="N9" i="1"/>
  <c r="N8" i="5"/>
  <c r="J83" i="1" l="1"/>
  <c r="I83" i="5"/>
  <c r="H84" i="5"/>
  <c r="G92" i="5"/>
  <c r="H82" i="5"/>
  <c r="H92" i="1"/>
  <c r="O9" i="1"/>
  <c r="O8" i="5"/>
  <c r="N9" i="5"/>
  <c r="J84" i="1" l="1"/>
  <c r="I84" i="5"/>
  <c r="J82" i="1"/>
  <c r="I82" i="5"/>
  <c r="I92" i="1"/>
  <c r="K83" i="1"/>
  <c r="J83" i="5"/>
  <c r="H92" i="5"/>
  <c r="O9" i="5"/>
  <c r="P9" i="1"/>
  <c r="P8" i="5"/>
  <c r="I92" i="5" l="1"/>
  <c r="K82" i="1"/>
  <c r="J82" i="5"/>
  <c r="J92" i="1"/>
  <c r="K83" i="5"/>
  <c r="L83" i="1"/>
  <c r="K84" i="1"/>
  <c r="J84" i="5"/>
  <c r="P9" i="5"/>
  <c r="Q9" i="1"/>
  <c r="Q8" i="5"/>
  <c r="J92" i="5" l="1"/>
  <c r="L83" i="5"/>
  <c r="L82" i="1"/>
  <c r="K82" i="5"/>
  <c r="K92" i="1"/>
  <c r="K84" i="5"/>
  <c r="L84" i="1"/>
  <c r="Q9" i="5"/>
  <c r="R9" i="1"/>
  <c r="R8" i="5"/>
  <c r="K92" i="5" l="1"/>
  <c r="L82" i="5"/>
  <c r="L92" i="1"/>
  <c r="N83" i="1"/>
  <c r="M83" i="5"/>
  <c r="L84" i="5"/>
  <c r="R9" i="5"/>
  <c r="N84" i="1" l="1"/>
  <c r="M84" i="5"/>
  <c r="N83" i="5"/>
  <c r="O83" i="1"/>
  <c r="N82" i="1"/>
  <c r="M82" i="5"/>
  <c r="M92" i="1"/>
  <c r="L92" i="5"/>
  <c r="M92" i="5" l="1"/>
  <c r="O82" i="1"/>
  <c r="N82" i="5"/>
  <c r="N92" i="1"/>
  <c r="O83" i="5"/>
  <c r="P83" i="1"/>
  <c r="O84" i="1"/>
  <c r="N84" i="5"/>
  <c r="P82" i="1" l="1"/>
  <c r="O82" i="5"/>
  <c r="O92" i="1"/>
  <c r="N92" i="5"/>
  <c r="P84" i="1"/>
  <c r="O84" i="5"/>
  <c r="Q83" i="1"/>
  <c r="P83" i="5"/>
  <c r="Q84" i="1" l="1"/>
  <c r="P84" i="5"/>
  <c r="R83" i="1"/>
  <c r="R83" i="5" s="1"/>
  <c r="Q83" i="5"/>
  <c r="O92" i="5"/>
  <c r="Q82" i="1"/>
  <c r="P82" i="5"/>
  <c r="P92" i="1"/>
  <c r="R82" i="1" l="1"/>
  <c r="Q82" i="5"/>
  <c r="Q92" i="1"/>
  <c r="P92" i="5"/>
  <c r="R84" i="1"/>
  <c r="R84" i="5" s="1"/>
  <c r="Q84" i="5"/>
  <c r="Q92" i="5" l="1"/>
  <c r="R82" i="5"/>
  <c r="R92" i="1"/>
  <c r="R92" i="5" l="1"/>
  <c r="E54" i="17"/>
  <c r="I107" i="1" l="1"/>
  <c r="F54" i="17"/>
  <c r="F62" i="17" s="1"/>
  <c r="F71" i="17" s="1"/>
  <c r="B21" i="19"/>
  <c r="B25" i="19" s="1"/>
  <c r="B35" i="19" s="1"/>
  <c r="C25" i="19"/>
  <c r="E21" i="19" s="1"/>
  <c r="E62" i="17"/>
  <c r="G54" i="17"/>
  <c r="H44" i="16" l="1"/>
  <c r="G44" i="16" s="1"/>
  <c r="G47" i="16" s="1"/>
  <c r="I44" i="1" s="1"/>
  <c r="D12" i="5"/>
  <c r="D107" i="5"/>
  <c r="D116" i="1"/>
  <c r="E22" i="19"/>
  <c r="E25" i="19"/>
  <c r="E14" i="19"/>
  <c r="E15" i="19"/>
  <c r="E20" i="19"/>
  <c r="E17" i="19"/>
  <c r="E19" i="19"/>
  <c r="E16" i="19"/>
  <c r="E23" i="19"/>
  <c r="C35" i="19"/>
  <c r="D25" i="19" s="1"/>
  <c r="E18" i="19"/>
  <c r="G62" i="17"/>
  <c r="H28" i="17" s="1"/>
  <c r="D62" i="17"/>
  <c r="E71" i="17"/>
  <c r="D71" i="17" s="1"/>
  <c r="J44" i="1" l="1"/>
  <c r="I44" i="5"/>
  <c r="I45" i="1"/>
  <c r="I45" i="5" s="1"/>
  <c r="B7" i="19"/>
  <c r="B9" i="19" s="1"/>
  <c r="B38" i="19" s="1"/>
  <c r="G49" i="16"/>
  <c r="H47" i="16"/>
  <c r="C9" i="19" s="1"/>
  <c r="D13" i="1"/>
  <c r="D53" i="1" s="1"/>
  <c r="D19" i="19"/>
  <c r="D29" i="19"/>
  <c r="D16" i="19"/>
  <c r="D32" i="19"/>
  <c r="D33" i="19"/>
  <c r="D31" i="19"/>
  <c r="D17" i="19"/>
  <c r="D30" i="19"/>
  <c r="D35" i="19"/>
  <c r="D22" i="19"/>
  <c r="D14" i="19"/>
  <c r="D18" i="19"/>
  <c r="G35" i="19"/>
  <c r="D15" i="19"/>
  <c r="D20" i="19"/>
  <c r="D23" i="19"/>
  <c r="D21" i="19"/>
  <c r="D116" i="5"/>
  <c r="D118" i="5" s="1"/>
  <c r="D118" i="1"/>
  <c r="C26" i="8" s="1"/>
  <c r="C33" i="8" s="1"/>
  <c r="E107" i="5"/>
  <c r="E116" i="1"/>
  <c r="H23" i="17"/>
  <c r="H56" i="17"/>
  <c r="H8" i="17"/>
  <c r="H36" i="17"/>
  <c r="H48" i="17"/>
  <c r="H55" i="17"/>
  <c r="H31" i="17"/>
  <c r="H15" i="17"/>
  <c r="H49" i="17"/>
  <c r="H25" i="17"/>
  <c r="H57" i="17"/>
  <c r="H16" i="17"/>
  <c r="H29" i="17"/>
  <c r="H37" i="17"/>
  <c r="H20" i="17"/>
  <c r="H10" i="17"/>
  <c r="H39" i="17"/>
  <c r="H52" i="17"/>
  <c r="H21" i="17"/>
  <c r="H59" i="17"/>
  <c r="H6" i="17"/>
  <c r="H27" i="17"/>
  <c r="H45" i="17"/>
  <c r="H26" i="17"/>
  <c r="H35" i="17"/>
  <c r="H32" i="17"/>
  <c r="H33" i="17"/>
  <c r="H50" i="17"/>
  <c r="H18" i="17"/>
  <c r="H51" i="17"/>
  <c r="H4" i="17"/>
  <c r="H5" i="17"/>
  <c r="H58" i="17"/>
  <c r="H11" i="17"/>
  <c r="H24" i="17"/>
  <c r="H7" i="17"/>
  <c r="H38" i="17"/>
  <c r="H9" i="17"/>
  <c r="H34" i="17"/>
  <c r="H30" i="17"/>
  <c r="H22" i="17"/>
  <c r="H19" i="17"/>
  <c r="H14" i="17"/>
  <c r="H44" i="17"/>
  <c r="G71" i="17"/>
  <c r="H60" i="17" s="1"/>
  <c r="H17" i="17"/>
  <c r="H54" i="17"/>
  <c r="K44" i="1" l="1"/>
  <c r="J44" i="5"/>
  <c r="J45" i="1"/>
  <c r="J45" i="5" s="1"/>
  <c r="I44" i="16"/>
  <c r="B27" i="19"/>
  <c r="I41" i="16"/>
  <c r="I39" i="16"/>
  <c r="H49" i="16"/>
  <c r="I45" i="16"/>
  <c r="I43" i="16"/>
  <c r="I40" i="16"/>
  <c r="I42" i="16"/>
  <c r="E13" i="1"/>
  <c r="E53" i="1" s="1"/>
  <c r="D13" i="5"/>
  <c r="D53" i="5" s="1"/>
  <c r="C7" i="11" s="1"/>
  <c r="C11" i="11" s="1"/>
  <c r="E12" i="5"/>
  <c r="C27" i="19"/>
  <c r="C38" i="19"/>
  <c r="G38" i="19" s="1"/>
  <c r="G9" i="19"/>
  <c r="D6" i="19"/>
  <c r="D7" i="19"/>
  <c r="F107" i="5"/>
  <c r="F116" i="1"/>
  <c r="E118" i="1"/>
  <c r="D26" i="8" s="1"/>
  <c r="D33" i="8" s="1"/>
  <c r="E116" i="5"/>
  <c r="E118" i="5" s="1"/>
  <c r="F13" i="1"/>
  <c r="F12" i="5"/>
  <c r="D120" i="5"/>
  <c r="C16" i="11"/>
  <c r="C22" i="11" s="1"/>
  <c r="C46" i="11"/>
  <c r="C50" i="11" s="1"/>
  <c r="C13" i="8"/>
  <c r="C20" i="8" s="1"/>
  <c r="C36" i="8" s="1"/>
  <c r="C38" i="8" s="1"/>
  <c r="D121" i="1"/>
  <c r="D124" i="1" s="1"/>
  <c r="L44" i="1" l="1"/>
  <c r="K44" i="5"/>
  <c r="K45" i="1"/>
  <c r="K45" i="5" s="1"/>
  <c r="I47" i="16"/>
  <c r="E13" i="5"/>
  <c r="E53" i="5" s="1"/>
  <c r="E121" i="5" s="1"/>
  <c r="D55" i="5"/>
  <c r="D121" i="5"/>
  <c r="D125" i="5" s="1"/>
  <c r="C39" i="11"/>
  <c r="C41" i="11" s="1"/>
  <c r="C53" i="11" s="1"/>
  <c r="G27" i="19"/>
  <c r="G12" i="5"/>
  <c r="H12" i="1"/>
  <c r="I12" i="1" s="1"/>
  <c r="J12" i="1" s="1"/>
  <c r="K12" i="1" s="1"/>
  <c r="L12" i="1" s="1"/>
  <c r="M12" i="1" s="1"/>
  <c r="N12" i="1" s="1"/>
  <c r="O12" i="1" s="1"/>
  <c r="P12" i="1" s="1"/>
  <c r="Q12" i="1" s="1"/>
  <c r="R12" i="1" s="1"/>
  <c r="G13" i="1"/>
  <c r="F116" i="5"/>
  <c r="F118" i="5" s="1"/>
  <c r="F118" i="1"/>
  <c r="E26" i="8" s="1"/>
  <c r="E33" i="8" s="1"/>
  <c r="G107" i="5"/>
  <c r="G116" i="1"/>
  <c r="H107" i="1"/>
  <c r="D46" i="11"/>
  <c r="D50" i="11" s="1"/>
  <c r="E120" i="5"/>
  <c r="D16" i="11"/>
  <c r="D22" i="11" s="1"/>
  <c r="E121" i="1"/>
  <c r="E124" i="1" s="1"/>
  <c r="D13" i="8"/>
  <c r="D20" i="8" s="1"/>
  <c r="D36" i="8" s="1"/>
  <c r="D38" i="8" s="1"/>
  <c r="F53" i="1"/>
  <c r="F13" i="5"/>
  <c r="F53" i="5" s="1"/>
  <c r="C25" i="11"/>
  <c r="L44" i="5" l="1"/>
  <c r="L45" i="1"/>
  <c r="L45" i="5" s="1"/>
  <c r="D39" i="11"/>
  <c r="D41" i="11" s="1"/>
  <c r="D53" i="11" s="1"/>
  <c r="D7" i="11"/>
  <c r="D11" i="11" s="1"/>
  <c r="D25" i="11" s="1"/>
  <c r="E55" i="5"/>
  <c r="D123" i="5"/>
  <c r="E123" i="5"/>
  <c r="H107" i="5"/>
  <c r="H116" i="1"/>
  <c r="G116" i="5"/>
  <c r="G118" i="5" s="1"/>
  <c r="G118" i="1"/>
  <c r="H13" i="1"/>
  <c r="H12" i="5"/>
  <c r="E46" i="11"/>
  <c r="E50" i="11" s="1"/>
  <c r="E16" i="11"/>
  <c r="E22" i="11" s="1"/>
  <c r="F120" i="5"/>
  <c r="G53" i="1"/>
  <c r="D36" i="21" s="1"/>
  <c r="K37" i="21" s="1"/>
  <c r="G13" i="5"/>
  <c r="G53" i="5" s="1"/>
  <c r="F121" i="5"/>
  <c r="F55" i="5"/>
  <c r="E39" i="11"/>
  <c r="E41" i="11" s="1"/>
  <c r="E7" i="11"/>
  <c r="E11" i="11" s="1"/>
  <c r="F121" i="1"/>
  <c r="F124" i="1" s="1"/>
  <c r="E13" i="8"/>
  <c r="E20" i="8" s="1"/>
  <c r="E36" i="8" s="1"/>
  <c r="E38" i="8" s="1"/>
  <c r="E125" i="5"/>
  <c r="F26" i="8" l="1"/>
  <c r="F33" i="8" s="1"/>
  <c r="D37" i="21"/>
  <c r="D38" i="21" s="1"/>
  <c r="D39" i="21" s="1"/>
  <c r="F123" i="5"/>
  <c r="E53" i="11"/>
  <c r="E25" i="11"/>
  <c r="H13" i="5"/>
  <c r="H53" i="5" s="1"/>
  <c r="H53" i="1"/>
  <c r="F125" i="5"/>
  <c r="I116" i="1"/>
  <c r="I107" i="5"/>
  <c r="J107" i="1"/>
  <c r="H116" i="5"/>
  <c r="H118" i="5" s="1"/>
  <c r="H118" i="1"/>
  <c r="G26" i="8" s="1"/>
  <c r="G33" i="8" s="1"/>
  <c r="F13" i="8"/>
  <c r="F20" i="8" s="1"/>
  <c r="G121" i="1"/>
  <c r="G124" i="1" s="1"/>
  <c r="G120" i="5"/>
  <c r="F16" i="11"/>
  <c r="F22" i="11" s="1"/>
  <c r="F46" i="11"/>
  <c r="F50" i="11" s="1"/>
  <c r="G121" i="5"/>
  <c r="F39" i="11"/>
  <c r="F41" i="11" s="1"/>
  <c r="G55" i="5"/>
  <c r="F7" i="11"/>
  <c r="F11" i="11" s="1"/>
  <c r="I12" i="5"/>
  <c r="I13" i="1"/>
  <c r="F36" i="8" l="1"/>
  <c r="F38" i="8" s="1"/>
  <c r="F25" i="11"/>
  <c r="G125" i="5"/>
  <c r="F53" i="11"/>
  <c r="H121" i="1"/>
  <c r="H124" i="1" s="1"/>
  <c r="G13" i="8"/>
  <c r="G20" i="8" s="1"/>
  <c r="G36" i="8" s="1"/>
  <c r="I53" i="1"/>
  <c r="I13" i="5"/>
  <c r="I53" i="5" s="1"/>
  <c r="H121" i="5"/>
  <c r="G39" i="11"/>
  <c r="G41" i="11" s="1"/>
  <c r="G7" i="11"/>
  <c r="G11" i="11" s="1"/>
  <c r="H55" i="5"/>
  <c r="G46" i="11"/>
  <c r="G50" i="11" s="1"/>
  <c r="H120" i="5"/>
  <c r="G16" i="11"/>
  <c r="G22" i="11" s="1"/>
  <c r="G123" i="5"/>
  <c r="K107" i="1"/>
  <c r="J107" i="5"/>
  <c r="J116" i="1"/>
  <c r="J12" i="5"/>
  <c r="J13" i="1"/>
  <c r="I118" i="1"/>
  <c r="H26" i="8" s="1"/>
  <c r="H33" i="8" s="1"/>
  <c r="I116" i="5"/>
  <c r="I118" i="5" s="1"/>
  <c r="G38" i="8" l="1"/>
  <c r="H125" i="5"/>
  <c r="H123" i="5"/>
  <c r="J53" i="1"/>
  <c r="J13" i="5"/>
  <c r="J53" i="5" s="1"/>
  <c r="K13" i="1"/>
  <c r="K12" i="5"/>
  <c r="G53" i="11"/>
  <c r="J116" i="5"/>
  <c r="J118" i="5" s="1"/>
  <c r="J118" i="1"/>
  <c r="I26" i="8" s="1"/>
  <c r="I33" i="8" s="1"/>
  <c r="H7" i="11"/>
  <c r="H11" i="11" s="1"/>
  <c r="I55" i="5"/>
  <c r="H39" i="11"/>
  <c r="H41" i="11" s="1"/>
  <c r="I121" i="5"/>
  <c r="I121" i="1"/>
  <c r="I124" i="1" s="1"/>
  <c r="H13" i="8"/>
  <c r="H20" i="8" s="1"/>
  <c r="H36" i="8" s="1"/>
  <c r="I120" i="5"/>
  <c r="H16" i="11"/>
  <c r="H22" i="11" s="1"/>
  <c r="H46" i="11"/>
  <c r="H50" i="11" s="1"/>
  <c r="L107" i="1"/>
  <c r="K107" i="5"/>
  <c r="K116" i="1"/>
  <c r="G25" i="11"/>
  <c r="H38" i="8" l="1"/>
  <c r="I125" i="5"/>
  <c r="H53" i="11"/>
  <c r="H25" i="11"/>
  <c r="L12" i="5"/>
  <c r="L13" i="1"/>
  <c r="I46" i="11"/>
  <c r="I50" i="11" s="1"/>
  <c r="I16" i="11"/>
  <c r="I22" i="11" s="1"/>
  <c r="J120" i="5"/>
  <c r="K118" i="1"/>
  <c r="K116" i="5"/>
  <c r="K118" i="5" s="1"/>
  <c r="L107" i="5"/>
  <c r="L116" i="1"/>
  <c r="I13" i="8"/>
  <c r="I20" i="8" s="1"/>
  <c r="I36" i="8" s="1"/>
  <c r="J121" i="1"/>
  <c r="J124" i="1" s="1"/>
  <c r="I123" i="5"/>
  <c r="K13" i="5"/>
  <c r="K53" i="5" s="1"/>
  <c r="K53" i="1"/>
  <c r="F36" i="21" s="1"/>
  <c r="L37" i="21" s="1"/>
  <c r="I7" i="11"/>
  <c r="I11" i="11" s="1"/>
  <c r="I39" i="11"/>
  <c r="I41" i="11" s="1"/>
  <c r="J121" i="5"/>
  <c r="J55" i="5"/>
  <c r="I38" i="8" l="1"/>
  <c r="J26" i="8"/>
  <c r="J33" i="8" s="1"/>
  <c r="F37" i="21"/>
  <c r="F38" i="21" s="1"/>
  <c r="F39" i="21" s="1"/>
  <c r="I25" i="11"/>
  <c r="J123" i="5"/>
  <c r="J125" i="5"/>
  <c r="K121" i="1"/>
  <c r="K124" i="1" s="1"/>
  <c r="J13" i="8"/>
  <c r="J20" i="8" s="1"/>
  <c r="M12" i="5"/>
  <c r="M13" i="1"/>
  <c r="L53" i="1"/>
  <c r="L13" i="5"/>
  <c r="L53" i="5" s="1"/>
  <c r="M107" i="5"/>
  <c r="N107" i="1"/>
  <c r="M116" i="1"/>
  <c r="J16" i="11"/>
  <c r="J22" i="11" s="1"/>
  <c r="J46" i="11"/>
  <c r="J50" i="11" s="1"/>
  <c r="K120" i="5"/>
  <c r="L116" i="5"/>
  <c r="L118" i="5" s="1"/>
  <c r="L118" i="1"/>
  <c r="K26" i="8" s="1"/>
  <c r="K33" i="8" s="1"/>
  <c r="J7" i="11"/>
  <c r="J11" i="11" s="1"/>
  <c r="J39" i="11"/>
  <c r="J41" i="11" s="1"/>
  <c r="K55" i="5"/>
  <c r="K121" i="5"/>
  <c r="I53" i="11"/>
  <c r="J36" i="8" l="1"/>
  <c r="J38" i="8" s="1"/>
  <c r="K125" i="5"/>
  <c r="M13" i="5"/>
  <c r="M53" i="5" s="1"/>
  <c r="M53" i="1"/>
  <c r="K123" i="5"/>
  <c r="J53" i="11"/>
  <c r="N107" i="5"/>
  <c r="N116" i="1"/>
  <c r="O107" i="1"/>
  <c r="N12" i="5"/>
  <c r="N13" i="1"/>
  <c r="J25" i="11"/>
  <c r="M118" i="1"/>
  <c r="L26" i="8" s="1"/>
  <c r="L33" i="8" s="1"/>
  <c r="M116" i="5"/>
  <c r="M118" i="5" s="1"/>
  <c r="K7" i="11"/>
  <c r="K11" i="11" s="1"/>
  <c r="K39" i="11"/>
  <c r="K41" i="11" s="1"/>
  <c r="L55" i="5"/>
  <c r="L121" i="5"/>
  <c r="K16" i="11"/>
  <c r="K22" i="11" s="1"/>
  <c r="K46" i="11"/>
  <c r="K50" i="11" s="1"/>
  <c r="L120" i="5"/>
  <c r="L121" i="1"/>
  <c r="L124" i="1" s="1"/>
  <c r="K13" i="8"/>
  <c r="K20" i="8" s="1"/>
  <c r="K36" i="8" s="1"/>
  <c r="K38" i="8" l="1"/>
  <c r="L123" i="5"/>
  <c r="N13" i="5"/>
  <c r="N53" i="5" s="1"/>
  <c r="N53" i="1"/>
  <c r="O116" i="1"/>
  <c r="O107" i="5"/>
  <c r="P107" i="1"/>
  <c r="O12" i="5"/>
  <c r="O13" i="1"/>
  <c r="L125" i="5"/>
  <c r="K25" i="11"/>
  <c r="L13" i="8"/>
  <c r="L20" i="8" s="1"/>
  <c r="L36" i="8" s="1"/>
  <c r="M121" i="1"/>
  <c r="M124" i="1" s="1"/>
  <c r="K53" i="11"/>
  <c r="L39" i="11"/>
  <c r="L41" i="11" s="1"/>
  <c r="L7" i="11"/>
  <c r="L11" i="11" s="1"/>
  <c r="M55" i="5"/>
  <c r="M121" i="5"/>
  <c r="N118" i="1"/>
  <c r="M26" i="8" s="1"/>
  <c r="M33" i="8" s="1"/>
  <c r="N116" i="5"/>
  <c r="N118" i="5" s="1"/>
  <c r="L16" i="11"/>
  <c r="L22" i="11" s="1"/>
  <c r="L46" i="11"/>
  <c r="L50" i="11" s="1"/>
  <c r="M120" i="5"/>
  <c r="L38" i="8" l="1"/>
  <c r="L53" i="11"/>
  <c r="Q107" i="1"/>
  <c r="P116" i="1"/>
  <c r="P107" i="5"/>
  <c r="O118" i="1"/>
  <c r="O116" i="5"/>
  <c r="O118" i="5" s="1"/>
  <c r="N121" i="1"/>
  <c r="N124" i="1" s="1"/>
  <c r="M13" i="8"/>
  <c r="M20" i="8" s="1"/>
  <c r="M36" i="8" s="1"/>
  <c r="O13" i="5"/>
  <c r="O53" i="5" s="1"/>
  <c r="O53" i="1"/>
  <c r="H36" i="21" s="1"/>
  <c r="M37" i="21" s="1"/>
  <c r="N120" i="5"/>
  <c r="M16" i="11"/>
  <c r="M22" i="11" s="1"/>
  <c r="M46" i="11"/>
  <c r="M50" i="11" s="1"/>
  <c r="M123" i="5"/>
  <c r="M125" i="5"/>
  <c r="N121" i="5"/>
  <c r="N55" i="5"/>
  <c r="M39" i="11"/>
  <c r="M41" i="11" s="1"/>
  <c r="M7" i="11"/>
  <c r="M11" i="11" s="1"/>
  <c r="L25" i="11"/>
  <c r="P13" i="1"/>
  <c r="P12" i="5"/>
  <c r="M38" i="8" l="1"/>
  <c r="N26" i="8"/>
  <c r="N33" i="8" s="1"/>
  <c r="H37" i="21"/>
  <c r="H38" i="21" s="1"/>
  <c r="H39" i="21" s="1"/>
  <c r="N125" i="5"/>
  <c r="M25" i="11"/>
  <c r="N16" i="11"/>
  <c r="N22" i="11" s="1"/>
  <c r="N46" i="11"/>
  <c r="N50" i="11" s="1"/>
  <c r="O120" i="5"/>
  <c r="P118" i="1"/>
  <c r="O26" i="8" s="1"/>
  <c r="O33" i="8" s="1"/>
  <c r="P116" i="5"/>
  <c r="P118" i="5" s="1"/>
  <c r="Q12" i="5"/>
  <c r="Q13" i="1"/>
  <c r="P13" i="5"/>
  <c r="P53" i="5" s="1"/>
  <c r="P53" i="1"/>
  <c r="M53" i="11"/>
  <c r="O121" i="1"/>
  <c r="O124" i="1" s="1"/>
  <c r="N13" i="8"/>
  <c r="N20" i="8" s="1"/>
  <c r="Q116" i="1"/>
  <c r="Q107" i="5"/>
  <c r="R107" i="1"/>
  <c r="N39" i="11"/>
  <c r="N41" i="11" s="1"/>
  <c r="O121" i="5"/>
  <c r="O55" i="5"/>
  <c r="N7" i="11"/>
  <c r="N11" i="11" s="1"/>
  <c r="N123" i="5"/>
  <c r="N36" i="8" l="1"/>
  <c r="N38" i="8" s="1"/>
  <c r="N25" i="11"/>
  <c r="O125" i="5"/>
  <c r="N53" i="11"/>
  <c r="Q118" i="1"/>
  <c r="P26" i="8" s="1"/>
  <c r="P33" i="8" s="1"/>
  <c r="Q116" i="5"/>
  <c r="Q118" i="5" s="1"/>
  <c r="O39" i="11"/>
  <c r="O41" i="11" s="1"/>
  <c r="O7" i="11"/>
  <c r="O11" i="11" s="1"/>
  <c r="P55" i="5"/>
  <c r="P121" i="5"/>
  <c r="O46" i="11"/>
  <c r="O50" i="11" s="1"/>
  <c r="P120" i="5"/>
  <c r="O16" i="11"/>
  <c r="O22" i="11" s="1"/>
  <c r="O123" i="5"/>
  <c r="P121" i="1"/>
  <c r="P124" i="1" s="1"/>
  <c r="O13" i="8"/>
  <c r="O20" i="8" s="1"/>
  <c r="O36" i="8" s="1"/>
  <c r="R107" i="5"/>
  <c r="R116" i="1"/>
  <c r="Q53" i="1"/>
  <c r="Q13" i="5"/>
  <c r="Q53" i="5" s="1"/>
  <c r="R13" i="1"/>
  <c r="R12" i="5"/>
  <c r="O38" i="8" l="1"/>
  <c r="P123" i="5"/>
  <c r="O25" i="11"/>
  <c r="O53" i="11"/>
  <c r="R53" i="1"/>
  <c r="R13" i="5"/>
  <c r="R53" i="5" s="1"/>
  <c r="Q121" i="5"/>
  <c r="P7" i="11"/>
  <c r="P11" i="11" s="1"/>
  <c r="P39" i="11"/>
  <c r="P41" i="11" s="1"/>
  <c r="Q55" i="5"/>
  <c r="P46" i="11"/>
  <c r="P50" i="11" s="1"/>
  <c r="Q120" i="5"/>
  <c r="P16" i="11"/>
  <c r="P22" i="11" s="1"/>
  <c r="P13" i="8"/>
  <c r="P20" i="8" s="1"/>
  <c r="P36" i="8" s="1"/>
  <c r="Q121" i="1"/>
  <c r="Q124" i="1" s="1"/>
  <c r="R116" i="5"/>
  <c r="R118" i="5" s="1"/>
  <c r="R118" i="1"/>
  <c r="Q26" i="8" s="1"/>
  <c r="Q33" i="8" s="1"/>
  <c r="P125" i="5"/>
  <c r="P38" i="8" l="1"/>
  <c r="Q125" i="5"/>
  <c r="P25" i="11"/>
  <c r="P53" i="11"/>
  <c r="Q123" i="5"/>
  <c r="Q16" i="11"/>
  <c r="Q22" i="11" s="1"/>
  <c r="Q46" i="11"/>
  <c r="R120" i="5"/>
  <c r="D12" i="7"/>
  <c r="Q7" i="11"/>
  <c r="R121" i="5"/>
  <c r="Q39" i="11"/>
  <c r="Q41" i="11" s="1"/>
  <c r="R55" i="5"/>
  <c r="D11" i="7"/>
  <c r="Q13" i="8"/>
  <c r="Q20" i="8" s="1"/>
  <c r="Q36" i="8" s="1"/>
  <c r="R121" i="1"/>
  <c r="R124" i="1" s="1"/>
  <c r="Q38" i="8" l="1"/>
  <c r="R125" i="5"/>
  <c r="C8" i="13"/>
  <c r="C9" i="13" s="1"/>
  <c r="G10" i="7" s="1"/>
  <c r="R123" i="5"/>
  <c r="Q11" i="13"/>
  <c r="R12" i="13" s="1"/>
  <c r="F13" i="7"/>
  <c r="S12" i="13" l="1"/>
  <c r="T12" i="13" s="1"/>
  <c r="U12" i="13" s="1"/>
  <c r="V12" i="13" s="1"/>
  <c r="W12" i="13" s="1"/>
  <c r="X12" i="13" s="1"/>
  <c r="Y12" i="13" s="1"/>
  <c r="Z12" i="13" s="1"/>
  <c r="AA12" i="13" s="1"/>
  <c r="AB12" i="13" s="1"/>
  <c r="AC12" i="13" s="1"/>
  <c r="Q13" i="13" l="1"/>
  <c r="Q14" i="13" s="1"/>
  <c r="C10" i="7" s="1"/>
  <c r="Q8" i="11" l="1"/>
  <c r="Q48" i="11" s="1"/>
  <c r="Q50" i="11" s="1"/>
  <c r="Q53" i="11" s="1"/>
  <c r="C17" i="13"/>
  <c r="D10" i="7" s="1"/>
  <c r="F12" i="7" s="1"/>
  <c r="Q11" i="11" l="1"/>
  <c r="Q25" i="11" s="1"/>
  <c r="C29" i="11" s="1"/>
  <c r="D13" i="7"/>
  <c r="D14" i="7" s="1"/>
  <c r="D15" i="7" s="1"/>
  <c r="C17" i="7" s="1"/>
  <c r="C19" i="7" s="1"/>
  <c r="C57" i="11"/>
  <c r="C58" i="11"/>
  <c r="C30" i="11" l="1"/>
  <c r="G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B10" authorId="0" shapeId="0" xr:uid="{00000000-0006-0000-0100-000001000000}">
      <text>
        <r>
          <rPr>
            <sz val="9"/>
            <color indexed="81"/>
            <rFont val="Tahoma"/>
            <family val="2"/>
            <charset val="186"/>
          </rPr>
          <t>Aasta, millal tekkisid/tekivad esimesed projektikulud</t>
        </r>
      </text>
    </comment>
    <comment ref="B13" authorId="0" shapeId="0" xr:uid="{00000000-0006-0000-0100-000002000000}">
      <text>
        <r>
          <rPr>
            <sz val="9"/>
            <color indexed="81"/>
            <rFont val="Tahoma"/>
            <family val="2"/>
            <charset val="186"/>
          </rPr>
          <t>Taotleja peab vastavalt oma objekti spetsiifikale tegema valiku arvestusperioodi pikkuse osas ja seda põhjendama.
RM juhendis nõutud arvestusperioodide pikkused on toodud töölehel "Arvestusperioodid"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B24" authorId="0" shapeId="0" xr:uid="{5F4E421B-02A6-4331-8FAA-E11555C8ADF8}">
      <text>
        <r>
          <rPr>
            <sz val="9"/>
            <color indexed="81"/>
            <rFont val="Tahoma"/>
            <family val="2"/>
            <charset val="204"/>
          </rPr>
          <t>Alates 2025</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Kersti Raja</author>
    <author>Bedjuhhov Mihhail</author>
  </authors>
  <commentList>
    <comment ref="A12" authorId="0" shapeId="0" xr:uid="{00000000-0006-0000-0B00-000001000000}">
      <text>
        <r>
          <rPr>
            <b/>
            <sz val="8"/>
            <color indexed="81"/>
            <rFont val="Segoe UI"/>
            <family val="2"/>
          </rPr>
          <t>Kersti Raja:</t>
        </r>
        <r>
          <rPr>
            <sz val="8"/>
            <color indexed="81"/>
            <rFont val="Segoe UI"/>
            <family val="2"/>
          </rPr>
          <t xml:space="preserve">
Kui tavaliselt jääb iduettevõtetest ellu pisut alla 10%, siis Inkubaatori kasvuprogrammi läbinutest on elujõulised üle 60%</t>
        </r>
      </text>
    </comment>
    <comment ref="A18" authorId="0" shapeId="0" xr:uid="{00000000-0006-0000-0B00-000002000000}">
      <text>
        <r>
          <rPr>
            <b/>
            <sz val="9"/>
            <color indexed="81"/>
            <rFont val="Segoe UI"/>
            <family val="2"/>
            <charset val="204"/>
          </rPr>
          <t>Kersti Raja:</t>
        </r>
        <r>
          <rPr>
            <sz val="9"/>
            <color indexed="81"/>
            <rFont val="Segoe UI"/>
            <family val="2"/>
            <charset val="204"/>
          </rPr>
          <t xml:space="preserve">
startup ettevõtetes luuakse töökohti keskmiselt 2,3 korda rohkem</t>
        </r>
      </text>
    </comment>
    <comment ref="A20" authorId="0" shapeId="0" xr:uid="{00000000-0006-0000-0B00-000003000000}">
      <text>
        <r>
          <rPr>
            <b/>
            <sz val="9"/>
            <color indexed="81"/>
            <rFont val="Segoe UI"/>
            <family val="2"/>
            <charset val="204"/>
          </rPr>
          <t>Kersti Raja:</t>
        </r>
        <r>
          <rPr>
            <sz val="9"/>
            <color indexed="81"/>
            <rFont val="Segoe UI"/>
            <family val="2"/>
            <charset val="204"/>
          </rPr>
          <t xml:space="preserve">
Ida-Virumaa keskmine brutopalk 2022.a III kv oli 1383 eurot kuus</t>
        </r>
      </text>
    </comment>
    <comment ref="A21" authorId="0" shapeId="0" xr:uid="{00000000-0006-0000-0B00-000004000000}">
      <text>
        <r>
          <rPr>
            <b/>
            <sz val="9"/>
            <color indexed="81"/>
            <rFont val="Segoe UI"/>
            <family val="2"/>
            <charset val="204"/>
          </rPr>
          <t>Kersti Raja:</t>
        </r>
        <r>
          <rPr>
            <sz val="9"/>
            <color indexed="81"/>
            <rFont val="Segoe UI"/>
            <family val="2"/>
            <charset val="204"/>
          </rPr>
          <t xml:space="preserve">
startup ettevõtete kesmine palk on 1.8 korda kõrgem</t>
        </r>
      </text>
    </comment>
    <comment ref="A29" authorId="0" shapeId="0" xr:uid="{00000000-0006-0000-0B00-000005000000}">
      <text>
        <r>
          <rPr>
            <b/>
            <sz val="9"/>
            <color indexed="81"/>
            <rFont val="Segoe UI"/>
            <family val="2"/>
            <charset val="204"/>
          </rPr>
          <t>Kersti Raja:</t>
        </r>
        <r>
          <rPr>
            <sz val="9"/>
            <color indexed="81"/>
            <rFont val="Segoe UI"/>
            <family val="2"/>
            <charset val="204"/>
          </rPr>
          <t xml:space="preserve">
(Tööjõukulud + Põhivarade kulum ja väärtuse langus + Ärikasum) / Müügitulu</t>
        </r>
      </text>
    </comment>
    <comment ref="A30" authorId="1" shapeId="0" xr:uid="{00000000-0006-0000-0B00-000006000000}">
      <text>
        <r>
          <rPr>
            <b/>
            <sz val="9"/>
            <color indexed="81"/>
            <rFont val="Tahoma"/>
            <family val="2"/>
            <charset val="204"/>
          </rPr>
          <t>Bedjuhhov Mihhail:</t>
        </r>
        <r>
          <rPr>
            <sz val="9"/>
            <color indexed="81"/>
            <rFont val="Tahoma"/>
            <family val="2"/>
            <charset val="204"/>
          </rPr>
          <t xml:space="preserve">
591 Kinofilmide, videote ja telesaadetega seotud tegevusalad</t>
        </r>
      </text>
    </comment>
    <comment ref="B30" authorId="1" shapeId="0" xr:uid="{00000000-0006-0000-0B00-000007000000}">
      <text>
        <r>
          <rPr>
            <b/>
            <sz val="9"/>
            <color indexed="81"/>
            <rFont val="Tahoma"/>
            <family val="2"/>
            <charset val="204"/>
          </rPr>
          <t>Bedjuhhov Mihhail:</t>
        </r>
        <r>
          <rPr>
            <sz val="9"/>
            <color indexed="81"/>
            <rFont val="Tahoma"/>
            <family val="2"/>
            <charset val="204"/>
          </rPr>
          <t xml:space="preserve">
stat.ee
2021</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C4" authorId="0" shapeId="0" xr:uid="{F740572A-061E-4C6F-8698-0886E9A3275E}">
      <text>
        <r>
          <rPr>
            <b/>
            <sz val="9"/>
            <color indexed="81"/>
            <rFont val="Tahoma"/>
            <family val="2"/>
            <charset val="204"/>
          </rPr>
          <t>Bedjuhhov Mihhail:</t>
        </r>
        <r>
          <rPr>
            <sz val="9"/>
            <color indexed="81"/>
            <rFont val="Tahoma"/>
            <family val="2"/>
            <charset val="204"/>
          </rPr>
          <t xml:space="preserve">
https://gren.com/ee/hinnakiri/
Alates 01.02.2024</t>
        </r>
      </text>
    </comment>
    <comment ref="C5" authorId="0" shapeId="0" xr:uid="{DD354683-738C-4293-8D0C-46D672ADA18E}">
      <text>
        <r>
          <rPr>
            <sz val="9"/>
            <color indexed="81"/>
            <rFont val="Tahoma"/>
            <family val="2"/>
            <charset val="204"/>
          </rPr>
          <t>Kesk elektrihind (15.05.24) + võrguteenus</t>
        </r>
      </text>
    </comment>
    <comment ref="C6" authorId="0" shapeId="0" xr:uid="{00000000-0006-0000-1000-000002000000}">
      <text>
        <r>
          <rPr>
            <sz val="9"/>
            <color indexed="81"/>
            <rFont val="Tahoma"/>
            <family val="2"/>
            <charset val="204"/>
          </rPr>
          <t>OÜ Järve Biopuhastus veetariifid alates 01.08.2022.a</t>
        </r>
      </text>
    </comment>
    <comment ref="C8" authorId="0" shapeId="0" xr:uid="{00000000-0006-0000-1000-000003000000}">
      <text>
        <r>
          <rPr>
            <sz val="9"/>
            <color indexed="81"/>
            <rFont val="Tahoma"/>
            <family val="2"/>
            <charset val="204"/>
          </rPr>
          <t>OÜ Järve Biopuhastus veetariifid alates 01.08.2022.a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A45" authorId="0" shapeId="0" xr:uid="{00000000-0006-0000-1100-000001000000}">
      <text>
        <r>
          <rPr>
            <sz val="9"/>
            <color indexed="81"/>
            <rFont val="Tahoma"/>
            <family val="2"/>
            <charset val="204"/>
          </rPr>
          <t xml:space="preserve">Только Inkubaator.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Kersti Raja</author>
  </authors>
  <commentList>
    <comment ref="D13" authorId="0" shapeId="0" xr:uid="{00000000-0006-0000-1200-000001000000}">
      <text>
        <r>
          <rPr>
            <b/>
            <sz val="9"/>
            <color indexed="81"/>
            <rFont val="Segoe UI"/>
            <family val="2"/>
          </rPr>
          <t>Kersti Raja:</t>
        </r>
        <r>
          <rPr>
            <sz val="9"/>
            <color indexed="81"/>
            <rFont val="Segoe UI"/>
            <family val="2"/>
          </rPr>
          <t xml:space="preserve">
sisaldab kommunaalkulusid</t>
        </r>
      </text>
    </comment>
    <comment ref="D14" authorId="0" shapeId="0" xr:uid="{00000000-0006-0000-1200-000002000000}">
      <text>
        <r>
          <rPr>
            <b/>
            <sz val="9"/>
            <color indexed="81"/>
            <rFont val="Segoe UI"/>
            <family val="2"/>
          </rPr>
          <t>Kersti Raja:</t>
        </r>
        <r>
          <rPr>
            <sz val="9"/>
            <color indexed="81"/>
            <rFont val="Segoe UI"/>
            <family val="2"/>
          </rPr>
          <t xml:space="preserve">
sisaldab kommunaalkulusid</t>
        </r>
      </text>
    </comment>
    <comment ref="D19" authorId="0" shapeId="0" xr:uid="{00000000-0006-0000-1200-000003000000}">
      <text>
        <r>
          <rPr>
            <b/>
            <sz val="9"/>
            <color indexed="81"/>
            <rFont val="Segoe UI"/>
            <family val="2"/>
          </rPr>
          <t>Kersti Raja:</t>
        </r>
        <r>
          <rPr>
            <sz val="9"/>
            <color indexed="81"/>
            <rFont val="Segoe UI"/>
            <family val="2"/>
          </rPr>
          <t xml:space="preserve">
sisaldab kommunaalkulusid</t>
        </r>
      </text>
    </comment>
    <comment ref="D20" authorId="0" shapeId="0" xr:uid="{00000000-0006-0000-1200-000004000000}">
      <text>
        <r>
          <rPr>
            <b/>
            <sz val="9"/>
            <color indexed="81"/>
            <rFont val="Segoe UI"/>
            <family val="2"/>
          </rPr>
          <t>Kersti Raja:</t>
        </r>
        <r>
          <rPr>
            <sz val="9"/>
            <color indexed="81"/>
            <rFont val="Segoe UI"/>
            <family val="2"/>
          </rPr>
          <t xml:space="preserve">
sisaldab kommunaalkulusid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C4" authorId="0" shapeId="0" xr:uid="{ED801FB6-B2D2-4179-9B92-FAF4B7A1A8CB}">
      <text>
        <r>
          <rPr>
            <b/>
            <sz val="9"/>
            <color indexed="81"/>
            <rFont val="Tahoma"/>
            <family val="2"/>
            <charset val="204"/>
          </rPr>
          <t>Bedjuhhov Mihhail:</t>
        </r>
        <r>
          <rPr>
            <sz val="9"/>
            <color indexed="81"/>
            <rFont val="Tahoma"/>
            <family val="2"/>
            <charset val="204"/>
          </rPr>
          <t xml:space="preserve">
https://gren.com/ee/hinnakiri/
Alates 01.02.2024</t>
        </r>
      </text>
    </comment>
    <comment ref="C5" authorId="0" shapeId="0" xr:uid="{F5460821-5703-46EE-BD05-571D4E703739}">
      <text>
        <r>
          <rPr>
            <sz val="9"/>
            <color indexed="81"/>
            <rFont val="Tahoma"/>
            <family val="2"/>
            <charset val="204"/>
          </rPr>
          <t>Kesk elektrihind (15.05.24) + võrguteenus</t>
        </r>
      </text>
    </comment>
    <comment ref="C6" authorId="0" shapeId="0" xr:uid="{00000000-0006-0000-1300-000002000000}">
      <text>
        <r>
          <rPr>
            <sz val="9"/>
            <color indexed="81"/>
            <rFont val="Tahoma"/>
            <family val="2"/>
            <charset val="204"/>
          </rPr>
          <t>OÜ Järve Biopuhastus veetariifid alates 01.08.2022.a</t>
        </r>
      </text>
    </comment>
    <comment ref="C8" authorId="0" shapeId="0" xr:uid="{00000000-0006-0000-1300-000003000000}">
      <text>
        <r>
          <rPr>
            <sz val="9"/>
            <color indexed="81"/>
            <rFont val="Tahoma"/>
            <family val="2"/>
            <charset val="204"/>
          </rPr>
          <t>OÜ Järve Biopuhastus veetariifid alates 01.08.2022.a</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A45" authorId="0" shapeId="0" xr:uid="{00000000-0006-0000-1400-000001000000}">
      <text>
        <r>
          <rPr>
            <sz val="9"/>
            <color indexed="81"/>
            <rFont val="Tahoma"/>
            <family val="2"/>
            <charset val="204"/>
          </rPr>
          <t xml:space="preserve">Только Inkubaator.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Kersti Raja</author>
  </authors>
  <commentList>
    <comment ref="D13" authorId="0" shapeId="0" xr:uid="{00000000-0006-0000-1500-000001000000}">
      <text>
        <r>
          <rPr>
            <b/>
            <sz val="9"/>
            <color indexed="81"/>
            <rFont val="Segoe UI"/>
            <family val="2"/>
          </rPr>
          <t>Kersti Raja:</t>
        </r>
        <r>
          <rPr>
            <sz val="9"/>
            <color indexed="81"/>
            <rFont val="Segoe UI"/>
            <family val="2"/>
          </rPr>
          <t xml:space="preserve">
sisaldab kommunaalkulusid</t>
        </r>
      </text>
    </comment>
    <comment ref="D14" authorId="0" shapeId="0" xr:uid="{00000000-0006-0000-1500-000002000000}">
      <text>
        <r>
          <rPr>
            <b/>
            <sz val="9"/>
            <color indexed="81"/>
            <rFont val="Segoe UI"/>
            <family val="2"/>
          </rPr>
          <t>Kersti Raja:</t>
        </r>
        <r>
          <rPr>
            <sz val="9"/>
            <color indexed="81"/>
            <rFont val="Segoe UI"/>
            <family val="2"/>
          </rPr>
          <t xml:space="preserve">
sisaldab kommunaalkulusid</t>
        </r>
      </text>
    </comment>
    <comment ref="D19" authorId="0" shapeId="0" xr:uid="{00000000-0006-0000-1500-000003000000}">
      <text>
        <r>
          <rPr>
            <b/>
            <sz val="9"/>
            <color indexed="81"/>
            <rFont val="Segoe UI"/>
            <family val="2"/>
          </rPr>
          <t>Kersti Raja:</t>
        </r>
        <r>
          <rPr>
            <sz val="9"/>
            <color indexed="81"/>
            <rFont val="Segoe UI"/>
            <family val="2"/>
          </rPr>
          <t xml:space="preserve">
sisaldab kommunaalkulusid</t>
        </r>
      </text>
    </comment>
    <comment ref="D20" authorId="0" shapeId="0" xr:uid="{00000000-0006-0000-1500-000004000000}">
      <text>
        <r>
          <rPr>
            <b/>
            <sz val="9"/>
            <color indexed="81"/>
            <rFont val="Segoe UI"/>
            <family val="2"/>
          </rPr>
          <t>Kersti Raja:</t>
        </r>
        <r>
          <rPr>
            <sz val="9"/>
            <color indexed="81"/>
            <rFont val="Segoe UI"/>
            <family val="2"/>
          </rPr>
          <t xml:space="preserve">
sisaldab kommunaalkulusid</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C4" authorId="0" shapeId="0" xr:uid="{76659203-89D2-442E-A98C-6E818EB027BF}">
      <text>
        <r>
          <rPr>
            <b/>
            <sz val="9"/>
            <color indexed="81"/>
            <rFont val="Tahoma"/>
            <family val="2"/>
            <charset val="204"/>
          </rPr>
          <t>Bedjuhhov Mihhail:</t>
        </r>
        <r>
          <rPr>
            <sz val="9"/>
            <color indexed="81"/>
            <rFont val="Tahoma"/>
            <family val="2"/>
            <charset val="204"/>
          </rPr>
          <t xml:space="preserve">
https://gren.com/ee/hinnakiri/
Alates 01.02.2024</t>
        </r>
      </text>
    </comment>
    <comment ref="C5" authorId="0" shapeId="0" xr:uid="{9E1C916F-50BC-42FA-80C6-FA2D10573410}">
      <text>
        <r>
          <rPr>
            <sz val="9"/>
            <color indexed="81"/>
            <rFont val="Tahoma"/>
            <family val="2"/>
            <charset val="204"/>
          </rPr>
          <t>Kesk elektrihind (15.05.24) + võrguteenus</t>
        </r>
      </text>
    </comment>
    <comment ref="C6" authorId="0" shapeId="0" xr:uid="{00000000-0006-0000-1600-000002000000}">
      <text>
        <r>
          <rPr>
            <sz val="9"/>
            <color indexed="81"/>
            <rFont val="Tahoma"/>
            <family val="2"/>
            <charset val="204"/>
          </rPr>
          <t>OÜ Järve Biopuhastus veetariifid alates 01.08.2022.a</t>
        </r>
      </text>
    </comment>
    <comment ref="C8" authorId="0" shapeId="0" xr:uid="{00000000-0006-0000-1600-000003000000}">
      <text>
        <r>
          <rPr>
            <sz val="9"/>
            <color indexed="81"/>
            <rFont val="Tahoma"/>
            <family val="2"/>
            <charset val="204"/>
          </rPr>
          <t>OÜ Järve Biopuhastus veetariifid alates 01.08.2022.a</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A45" authorId="0" shapeId="0" xr:uid="{00000000-0006-0000-1700-000001000000}">
      <text>
        <r>
          <rPr>
            <sz val="9"/>
            <color indexed="81"/>
            <rFont val="Tahoma"/>
            <family val="2"/>
            <charset val="204"/>
          </rPr>
          <t xml:space="preserve">Только Inkubaator.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D2" authorId="0" shapeId="0" xr:uid="{00000000-0006-0000-0200-000001000000}">
      <text>
        <r>
          <rPr>
            <sz val="9"/>
            <color indexed="81"/>
            <rFont val="Tahoma"/>
            <family val="2"/>
            <charset val="186"/>
          </rPr>
          <t>Aasta, millal tekkisid/tekivad esimesed projektikulud. Aastanumber kandub siia esilehelt.
Siit kandub see aastanumber edasi tulude ja kulude prognooside tabelitesse.
(Kõik tabelid peavad algama sama aastaga, et diskonteeritud tulemused tuleksid õiged)</t>
        </r>
      </text>
    </comment>
    <comment ref="L2" authorId="0" shapeId="0" xr:uid="{00000000-0006-0000-0200-000002000000}">
      <text>
        <r>
          <rPr>
            <sz val="9"/>
            <color indexed="81"/>
            <rFont val="Tahoma"/>
            <family val="2"/>
            <charset val="186"/>
          </rPr>
          <t>Mitme aasta jooksul amortiseeritakse</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Kersti Raja</author>
  </authors>
  <commentList>
    <comment ref="D13" authorId="0" shapeId="0" xr:uid="{00000000-0006-0000-1800-000001000000}">
      <text>
        <r>
          <rPr>
            <b/>
            <sz val="9"/>
            <color indexed="81"/>
            <rFont val="Segoe UI"/>
            <family val="2"/>
          </rPr>
          <t>Kersti Raja:</t>
        </r>
        <r>
          <rPr>
            <sz val="9"/>
            <color indexed="81"/>
            <rFont val="Segoe UI"/>
            <family val="2"/>
          </rPr>
          <t xml:space="preserve">
sisaldab kommunaalkulusid</t>
        </r>
      </text>
    </comment>
    <comment ref="D14" authorId="0" shapeId="0" xr:uid="{00000000-0006-0000-1800-000002000000}">
      <text>
        <r>
          <rPr>
            <b/>
            <sz val="9"/>
            <color indexed="81"/>
            <rFont val="Segoe UI"/>
            <family val="2"/>
          </rPr>
          <t>Kersti Raja:</t>
        </r>
        <r>
          <rPr>
            <sz val="9"/>
            <color indexed="81"/>
            <rFont val="Segoe UI"/>
            <family val="2"/>
          </rPr>
          <t xml:space="preserve">
sisaldab kommunaalkulusid</t>
        </r>
      </text>
    </comment>
    <comment ref="D19" authorId="0" shapeId="0" xr:uid="{00000000-0006-0000-1800-000003000000}">
      <text>
        <r>
          <rPr>
            <b/>
            <sz val="9"/>
            <color indexed="81"/>
            <rFont val="Segoe UI"/>
            <family val="2"/>
          </rPr>
          <t>Kersti Raja:</t>
        </r>
        <r>
          <rPr>
            <sz val="9"/>
            <color indexed="81"/>
            <rFont val="Segoe UI"/>
            <family val="2"/>
          </rPr>
          <t xml:space="preserve">
sisaldab kommunaalkulusid</t>
        </r>
      </text>
    </comment>
    <comment ref="D20" authorId="0" shapeId="0" xr:uid="{00000000-0006-0000-1800-000004000000}">
      <text>
        <r>
          <rPr>
            <b/>
            <sz val="9"/>
            <color indexed="81"/>
            <rFont val="Segoe UI"/>
            <family val="2"/>
          </rPr>
          <t>Kersti Raja:</t>
        </r>
        <r>
          <rPr>
            <sz val="9"/>
            <color indexed="81"/>
            <rFont val="Segoe UI"/>
            <family val="2"/>
          </rPr>
          <t xml:space="preserve">
sisaldab kommunaalkulusid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B7" authorId="0" shapeId="0" xr:uid="{00000000-0006-0000-0300-000001000000}">
      <text>
        <r>
          <rPr>
            <u/>
            <sz val="9"/>
            <color indexed="12"/>
            <rFont val="Tahoma"/>
            <family val="2"/>
            <charset val="186"/>
          </rPr>
          <t xml:space="preserve">KOGUS (ühikute arv) - näiteks: </t>
        </r>
        <r>
          <rPr>
            <sz val="9"/>
            <color indexed="81"/>
            <rFont val="Tahoma"/>
            <family val="2"/>
            <charset val="186"/>
          </rPr>
          <t xml:space="preserve">
klientide arv,
teenustundide arv;
ruumide rent - päevade arv või tundide arv jne
</t>
        </r>
      </text>
    </comment>
    <comment ref="A51" authorId="0" shapeId="0" xr:uid="{00000000-0006-0000-0300-000002000000}">
      <text>
        <r>
          <rPr>
            <sz val="9"/>
            <color indexed="81"/>
            <rFont val="Tahoma"/>
            <family val="2"/>
            <charset val="186"/>
          </rPr>
          <t>Vajadusel lisage ridu</t>
        </r>
      </text>
    </comment>
    <comment ref="B58" authorId="0" shapeId="0" xr:uid="{00000000-0006-0000-0300-000003000000}">
      <text>
        <r>
          <rPr>
            <sz val="9"/>
            <color indexed="81"/>
            <rFont val="Tahoma"/>
            <family val="2"/>
            <charset val="186"/>
          </rPr>
          <t>Lisada ametikohtade nimetused</t>
        </r>
      </text>
    </comment>
    <comment ref="B77" authorId="0" shapeId="0" xr:uid="{00000000-0006-0000-0300-000004000000}">
      <text>
        <r>
          <rPr>
            <sz val="9"/>
            <color indexed="81"/>
            <rFont val="Tahoma"/>
            <family val="2"/>
            <charset val="186"/>
          </rPr>
          <t>Vajadusel lisage töötajate jaoks ridu</t>
        </r>
      </text>
    </comment>
    <comment ref="B91" authorId="0" shapeId="0" xr:uid="{00000000-0006-0000-0300-000005000000}">
      <text>
        <r>
          <rPr>
            <sz val="9"/>
            <color indexed="81"/>
            <rFont val="Tahoma"/>
            <family val="2"/>
            <charset val="186"/>
          </rPr>
          <t>Vajadusel lisage ridu</t>
        </r>
      </text>
    </comment>
    <comment ref="B103" authorId="0" shapeId="0" xr:uid="{00000000-0006-0000-0300-000006000000}">
      <text>
        <r>
          <rPr>
            <sz val="9"/>
            <color indexed="81"/>
            <rFont val="Tahoma"/>
            <family val="2"/>
            <charset val="186"/>
          </rPr>
          <t>Vajadusel lisage ridu</t>
        </r>
      </text>
    </comment>
    <comment ref="A115" authorId="0" shapeId="0" xr:uid="{00000000-0006-0000-0300-000007000000}">
      <text>
        <r>
          <rPr>
            <sz val="9"/>
            <color indexed="81"/>
            <rFont val="Tahoma"/>
            <family val="2"/>
            <charset val="186"/>
          </rPr>
          <t>Vajadusel lisage ridu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400-000001000000}">
      <text>
        <r>
          <rPr>
            <sz val="9"/>
            <color indexed="81"/>
            <rFont val="Tahoma"/>
            <family val="2"/>
            <charset val="186"/>
          </rPr>
          <t>Vajadusel lisage ridu</t>
        </r>
      </text>
    </comment>
    <comment ref="A51" authorId="0" shapeId="0" xr:uid="{00000000-0006-0000-0400-000002000000}">
      <text>
        <r>
          <rPr>
            <sz val="9"/>
            <color indexed="81"/>
            <rFont val="Tahoma"/>
            <family val="2"/>
            <charset val="186"/>
          </rPr>
          <t>Vajadusel lisage ridu</t>
        </r>
      </text>
    </comment>
    <comment ref="B77" authorId="0" shapeId="0" xr:uid="{00000000-0006-0000-0400-000003000000}">
      <text>
        <r>
          <rPr>
            <sz val="9"/>
            <color indexed="81"/>
            <rFont val="Tahoma"/>
            <family val="2"/>
            <charset val="186"/>
          </rPr>
          <t>Vajadusel lisage ridu</t>
        </r>
      </text>
    </comment>
    <comment ref="B91" authorId="0" shapeId="0" xr:uid="{00000000-0006-0000-0400-000004000000}">
      <text>
        <r>
          <rPr>
            <sz val="9"/>
            <color indexed="81"/>
            <rFont val="Tahoma"/>
            <family val="2"/>
            <charset val="186"/>
          </rPr>
          <t>Vajadusel lisage ridu</t>
        </r>
      </text>
    </comment>
    <comment ref="B103" authorId="0" shapeId="0" xr:uid="{00000000-0006-0000-0400-000005000000}">
      <text>
        <r>
          <rPr>
            <sz val="9"/>
            <color indexed="81"/>
            <rFont val="Tahoma"/>
            <family val="2"/>
            <charset val="186"/>
          </rPr>
          <t>Vajadusel lisage ridu</t>
        </r>
      </text>
    </comment>
    <comment ref="A115" authorId="0" shapeId="0" xr:uid="{00000000-0006-0000-0400-000006000000}">
      <text>
        <r>
          <rPr>
            <sz val="9"/>
            <color indexed="81"/>
            <rFont val="Tahoma"/>
            <family val="2"/>
            <charset val="186"/>
          </rPr>
          <t>Vajadusel lisage ridu</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500-000001000000}">
      <text>
        <r>
          <rPr>
            <sz val="9"/>
            <color indexed="81"/>
            <rFont val="Tahoma"/>
            <family val="2"/>
            <charset val="186"/>
          </rPr>
          <t>Vajadusel lisage ridu</t>
        </r>
      </text>
    </comment>
    <comment ref="A51" authorId="0" shapeId="0" xr:uid="{00000000-0006-0000-0500-000002000000}">
      <text>
        <r>
          <rPr>
            <sz val="9"/>
            <color indexed="81"/>
            <rFont val="Tahoma"/>
            <family val="2"/>
            <charset val="186"/>
          </rPr>
          <t>Vajadusel lisage ridu</t>
        </r>
      </text>
    </comment>
    <comment ref="B77" authorId="0" shapeId="0" xr:uid="{00000000-0006-0000-0500-000003000000}">
      <text>
        <r>
          <rPr>
            <sz val="9"/>
            <color indexed="81"/>
            <rFont val="Tahoma"/>
            <family val="2"/>
            <charset val="186"/>
          </rPr>
          <t>Vajadusel lisage ridu</t>
        </r>
      </text>
    </comment>
    <comment ref="B91" authorId="0" shapeId="0" xr:uid="{00000000-0006-0000-0500-000004000000}">
      <text>
        <r>
          <rPr>
            <sz val="9"/>
            <color indexed="81"/>
            <rFont val="Tahoma"/>
            <family val="2"/>
            <charset val="186"/>
          </rPr>
          <t>Vajadusel lisage ridu</t>
        </r>
      </text>
    </comment>
    <comment ref="B103" authorId="0" shapeId="0" xr:uid="{00000000-0006-0000-0500-000005000000}">
      <text>
        <r>
          <rPr>
            <sz val="9"/>
            <color indexed="81"/>
            <rFont val="Tahoma"/>
            <family val="2"/>
            <charset val="186"/>
          </rPr>
          <t>Vajadusel lisage ridu</t>
        </r>
      </text>
    </comment>
    <comment ref="A115" authorId="0" shapeId="0" xr:uid="{00000000-0006-0000-0500-000006000000}">
      <text>
        <r>
          <rPr>
            <sz val="9"/>
            <color indexed="81"/>
            <rFont val="Tahoma"/>
            <family val="2"/>
            <charset val="186"/>
          </rPr>
          <t>Vajadusel lisage ridu</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Siiri</author>
    <author>Siiri Einaste</author>
  </authors>
  <commentList>
    <comment ref="A7" authorId="0" shapeId="0" xr:uid="{00000000-0006-0000-0600-000001000000}">
      <text>
        <r>
          <rPr>
            <sz val="9"/>
            <color indexed="81"/>
            <rFont val="Tahoma"/>
            <family val="2"/>
            <charset val="186"/>
          </rPr>
          <t>Tabelist 4</t>
        </r>
      </text>
    </comment>
    <comment ref="A8" authorId="0" shapeId="0" xr:uid="{00000000-0006-0000-0600-000002000000}">
      <text>
        <r>
          <rPr>
            <sz val="9"/>
            <color indexed="81"/>
            <rFont val="Tahoma"/>
            <family val="2"/>
            <charset val="186"/>
          </rPr>
          <t>Tabelist 8</t>
        </r>
      </text>
    </comment>
    <comment ref="A16" authorId="1" shapeId="0" xr:uid="{00000000-0006-0000-0600-000003000000}">
      <text>
        <r>
          <rPr>
            <sz val="9"/>
            <color indexed="81"/>
            <rFont val="Tahoma"/>
            <family val="2"/>
            <charset val="186"/>
          </rPr>
          <t>Tabelist 4</t>
        </r>
      </text>
    </comment>
    <comment ref="A17" authorId="0" shapeId="0" xr:uid="{00000000-0006-0000-0600-000004000000}">
      <text>
        <r>
          <rPr>
            <sz val="9"/>
            <color indexed="81"/>
            <rFont val="Tahoma"/>
            <family val="2"/>
            <charset val="186"/>
          </rPr>
          <t>Tabelist 6</t>
        </r>
      </text>
    </comment>
    <comment ref="A18" authorId="0" shapeId="0" xr:uid="{00000000-0006-0000-0600-000005000000}">
      <text>
        <r>
          <rPr>
            <sz val="9"/>
            <color indexed="81"/>
            <rFont val="Tahoma"/>
            <family val="2"/>
            <charset val="186"/>
          </rPr>
          <t>Tabelist 6</t>
        </r>
      </text>
    </comment>
    <comment ref="A19" authorId="0" shapeId="0" xr:uid="{00000000-0006-0000-0600-000006000000}">
      <text>
        <r>
          <rPr>
            <sz val="9"/>
            <color indexed="81"/>
            <rFont val="Tahoma"/>
            <family val="2"/>
            <charset val="186"/>
          </rPr>
          <t>Tabelist 6</t>
        </r>
      </text>
    </comment>
    <comment ref="A20" authorId="0" shapeId="0" xr:uid="{00000000-0006-0000-0600-000007000000}">
      <text>
        <r>
          <rPr>
            <sz val="9"/>
            <color indexed="81"/>
            <rFont val="Tahoma"/>
            <family val="2"/>
            <charset val="186"/>
          </rPr>
          <t>Tabelist 6</t>
        </r>
      </text>
    </comment>
    <comment ref="C29" authorId="0" shapeId="0" xr:uid="{00000000-0006-0000-0600-000008000000}">
      <text>
        <r>
          <rPr>
            <sz val="9"/>
            <color indexed="81"/>
            <rFont val="Tahoma"/>
            <family val="2"/>
            <charset val="186"/>
          </rPr>
          <t>Sageli väga madal või isegi negatiivne</t>
        </r>
      </text>
    </comment>
    <comment ref="I30" authorId="0" shapeId="0" xr:uid="{00000000-0006-0000-0600-000009000000}">
      <text>
        <r>
          <rPr>
            <sz val="9"/>
            <color indexed="81"/>
            <rFont val="Tahoma"/>
            <family val="2"/>
            <charset val="186"/>
          </rPr>
          <t>Guess, mis on arvatavasti lähim IRR väärtusele. Guess väärtus peab olema vähemalt -9%, et IRR kuvaks väärtuse.</t>
        </r>
      </text>
    </comment>
    <comment ref="A39" authorId="0" shapeId="0" xr:uid="{00000000-0006-0000-0600-00000A000000}">
      <text>
        <r>
          <rPr>
            <sz val="9"/>
            <color indexed="81"/>
            <rFont val="Tahoma"/>
            <family val="2"/>
            <charset val="186"/>
          </rPr>
          <t>Tabelist 4</t>
        </r>
      </text>
    </comment>
    <comment ref="A46" authorId="1" shapeId="0" xr:uid="{00000000-0006-0000-0600-00000B000000}">
      <text>
        <r>
          <rPr>
            <sz val="9"/>
            <color indexed="81"/>
            <rFont val="Tahoma"/>
            <family val="2"/>
            <charset val="186"/>
          </rPr>
          <t>Tabelist 4</t>
        </r>
      </text>
    </comment>
    <comment ref="A47" authorId="0" shapeId="0" xr:uid="{00000000-0006-0000-0600-00000C000000}">
      <text>
        <r>
          <rPr>
            <sz val="9"/>
            <color indexed="81"/>
            <rFont val="Tahoma"/>
            <family val="2"/>
            <charset val="186"/>
          </rPr>
          <t>Tabelist 1.a</t>
        </r>
      </text>
    </comment>
    <comment ref="A48" authorId="0" shapeId="0" xr:uid="{00000000-0006-0000-0600-00000D000000}">
      <text>
        <r>
          <rPr>
            <sz val="9"/>
            <color indexed="81"/>
            <rFont val="Tahoma"/>
            <family val="2"/>
            <charset val="186"/>
          </rPr>
          <t>Tabelist 8</t>
        </r>
      </text>
    </comment>
    <comment ref="C57" authorId="0" shapeId="0" xr:uid="{00000000-0006-0000-0600-00000E000000}">
      <text>
        <r>
          <rPr>
            <sz val="9"/>
            <color indexed="81"/>
            <rFont val="Tahoma"/>
            <family val="2"/>
            <charset val="186"/>
          </rPr>
          <t>Peab olema negatiivne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Siiri Einaste</author>
    <author>Siiri</author>
  </authors>
  <commentList>
    <comment ref="B9" authorId="0" shapeId="0" xr:uid="{00000000-0006-0000-0700-000001000000}">
      <text>
        <r>
          <rPr>
            <sz val="9"/>
            <color indexed="81"/>
            <rFont val="Tahoma"/>
            <family val="2"/>
            <charset val="186"/>
          </rPr>
          <t>Projekti kogukulud tabelist 1.a</t>
        </r>
      </text>
    </comment>
    <comment ref="B10" authorId="1" shapeId="0" xr:uid="{00000000-0006-0000-0700-000002000000}">
      <text>
        <r>
          <rPr>
            <sz val="9"/>
            <color indexed="81"/>
            <rFont val="Tahoma"/>
            <family val="2"/>
            <charset val="186"/>
          </rPr>
          <t>Tabelist 8</t>
        </r>
      </text>
    </comment>
    <comment ref="B16" authorId="0" shapeId="0" xr:uid="{00000000-0006-0000-0700-000003000000}">
      <text>
        <r>
          <rPr>
            <sz val="9"/>
            <color indexed="81"/>
            <rFont val="Tahoma"/>
            <family val="2"/>
            <charset val="186"/>
          </rPr>
          <t>Projekti elluviimise abikõlblikud kulud tabelist 1.b</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8" authorId="0" shapeId="0" xr:uid="{00000000-0006-0000-0800-000001000000}">
      <text>
        <r>
          <rPr>
            <sz val="9"/>
            <color indexed="81"/>
            <rFont val="Tahoma"/>
            <family val="2"/>
            <charset val="186"/>
          </rPr>
          <t>Kajastage kõik toetused/rahastajad eraldi ridadel</t>
        </r>
      </text>
    </comment>
    <comment ref="A13" authorId="0" shapeId="0" xr:uid="{00000000-0006-0000-0800-000002000000}">
      <text>
        <r>
          <rPr>
            <sz val="9"/>
            <color indexed="81"/>
            <rFont val="Tahoma"/>
            <family val="2"/>
            <charset val="186"/>
          </rPr>
          <t>Tulude ja kulude prognoosist</t>
        </r>
      </text>
    </comment>
    <comment ref="A25" authorId="0" shapeId="0" xr:uid="{00000000-0006-0000-0800-000003000000}">
      <text>
        <r>
          <rPr>
            <sz val="9"/>
            <color indexed="81"/>
            <rFont val="Tahoma"/>
            <family val="2"/>
            <charset val="186"/>
          </rPr>
          <t>Tabelist 1.a</t>
        </r>
      </text>
    </comment>
    <comment ref="A26" authorId="0" shapeId="0" xr:uid="{00000000-0006-0000-0800-000004000000}">
      <text>
        <r>
          <rPr>
            <sz val="9"/>
            <color indexed="81"/>
            <rFont val="Tahoma"/>
            <family val="2"/>
            <charset val="186"/>
          </rPr>
          <t>Tulude ja kulude prognoosist (tabel 2)</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A8" authorId="0" shapeId="0" xr:uid="{00000000-0006-0000-0900-000001000000}">
      <text>
        <r>
          <rPr>
            <sz val="9"/>
            <color indexed="81"/>
            <rFont val="Tahoma"/>
            <family val="2"/>
            <charset val="186"/>
          </rPr>
          <t>Tabelist 5</t>
        </r>
      </text>
    </comment>
    <comment ref="A12" authorId="0" shapeId="0" xr:uid="{00000000-0006-0000-0900-000002000000}">
      <text>
        <r>
          <rPr>
            <sz val="9"/>
            <color indexed="81"/>
            <rFont val="Tahoma"/>
            <family val="2"/>
            <charset val="186"/>
          </rPr>
          <t>Kirjutage arvestusperioodi viimase aasta tulude ja kulude vahe number 
arvestusperioodi ületavatele kasuliku eluea aastatele</t>
        </r>
      </text>
    </comment>
    <comment ref="R12" authorId="0" shapeId="0" xr:uid="{00000000-0006-0000-0900-000003000000}">
      <text>
        <r>
          <rPr>
            <sz val="9"/>
            <color indexed="81"/>
            <rFont val="Tahoma"/>
            <family val="2"/>
            <charset val="186"/>
          </rPr>
          <t>Kirjutage arvestusperioodi viimase aasta tulude ja kulude vahe number nii mitmele aastale, kui palju projekti vara kasulik eluiga on pikem kui arvestusperiood</t>
        </r>
      </text>
    </comment>
    <comment ref="A14" authorId="0" shapeId="0" xr:uid="{00000000-0006-0000-0900-000004000000}">
      <text>
        <r>
          <rPr>
            <sz val="9"/>
            <color indexed="81"/>
            <rFont val="Tahoma"/>
            <family val="2"/>
            <charset val="186"/>
          </rPr>
          <t>Arvesse saab võtta ainult positiivset jääkväärtust</t>
        </r>
      </text>
    </comment>
  </commentList>
</comments>
</file>

<file path=xl/sharedStrings.xml><?xml version="1.0" encoding="utf-8"?>
<sst xmlns="http://schemas.openxmlformats.org/spreadsheetml/2006/main" count="1554" uniqueCount="551">
  <si>
    <t>Hind</t>
  </si>
  <si>
    <t>Müügitulu</t>
  </si>
  <si>
    <t>Ühik</t>
  </si>
  <si>
    <t>Eur</t>
  </si>
  <si>
    <t>Märts</t>
  </si>
  <si>
    <t>Mai</t>
  </si>
  <si>
    <t>Juuni</t>
  </si>
  <si>
    <t>Juuli</t>
  </si>
  <si>
    <t>TULUD KOKKU</t>
  </si>
  <si>
    <t>KULUD</t>
  </si>
  <si>
    <t>Tööjõukulud</t>
  </si>
  <si>
    <t>Töötaja 5</t>
  </si>
  <si>
    <t>Töötaja 6</t>
  </si>
  <si>
    <t>Töötaja 7</t>
  </si>
  <si>
    <t>Töötaja 8</t>
  </si>
  <si>
    <t>Töötaja 9</t>
  </si>
  <si>
    <t>Töötaja 10</t>
  </si>
  <si>
    <t>Sotsiaal- ja tk.m</t>
  </si>
  <si>
    <t>Brutotasud kokku</t>
  </si>
  <si>
    <t>Tööjõukulud kokku</t>
  </si>
  <si>
    <t>Halduskulud</t>
  </si>
  <si>
    <t>Halduskulud kokku</t>
  </si>
  <si>
    <t>Turunduskulud</t>
  </si>
  <si>
    <t>Kulu 6</t>
  </si>
  <si>
    <t>Kulu 7</t>
  </si>
  <si>
    <t>Kulu 8</t>
  </si>
  <si>
    <t>Kulu 9</t>
  </si>
  <si>
    <t>Kulu 10</t>
  </si>
  <si>
    <t>Turunduskulud kokku</t>
  </si>
  <si>
    <t>Muud kulud kokku</t>
  </si>
  <si>
    <t>KULUD KOKKU</t>
  </si>
  <si>
    <t>Tulude ja kulude vahe</t>
  </si>
  <si>
    <t>TULUD</t>
  </si>
  <si>
    <t>Muu kulu 5</t>
  </si>
  <si>
    <t>Muu kulu 8</t>
  </si>
  <si>
    <t>Muu kulu 9</t>
  </si>
  <si>
    <t>Muu kulu 10</t>
  </si>
  <si>
    <t>Töötaja 11</t>
  </si>
  <si>
    <t>Töötaja 12</t>
  </si>
  <si>
    <t>Töötaja 13</t>
  </si>
  <si>
    <t>Töötaja 14</t>
  </si>
  <si>
    <t>Töötaja 15</t>
  </si>
  <si>
    <t>Töötaja 16</t>
  </si>
  <si>
    <t>Töötaja 17</t>
  </si>
  <si>
    <t>Töötaja 18</t>
  </si>
  <si>
    <t>Töötaja 19</t>
  </si>
  <si>
    <t>Töötaja 20</t>
  </si>
  <si>
    <t>Halduskulu 7</t>
  </si>
  <si>
    <t>Halduskulu 8</t>
  </si>
  <si>
    <t>Halduskulu 9</t>
  </si>
  <si>
    <t>Halduskulu 10</t>
  </si>
  <si>
    <t>Ühik 3</t>
  </si>
  <si>
    <t>Ühik 4</t>
  </si>
  <si>
    <t>Ühik 5</t>
  </si>
  <si>
    <t>Ühik 6</t>
  </si>
  <si>
    <t>Ühik 7</t>
  </si>
  <si>
    <t>Ühik 8</t>
  </si>
  <si>
    <t>Ühik 9</t>
  </si>
  <si>
    <t>Ühik 10</t>
  </si>
  <si>
    <t>LISANDUVAD TULUD KOKKU</t>
  </si>
  <si>
    <t>LISANDUVAD TULUD</t>
  </si>
  <si>
    <t>LISANDUVAD KULUD</t>
  </si>
  <si>
    <t>LISANDUVAD KULUD KOKKU</t>
  </si>
  <si>
    <t>Projekti vara kasulik eluiga (aastates)</t>
  </si>
  <si>
    <t>PROJEKTI KULUD KOKKU</t>
  </si>
  <si>
    <t>KOKKU</t>
  </si>
  <si>
    <t>PROJEKTI ABIKÕLBLIKUD KULUD KOKKU</t>
  </si>
  <si>
    <r>
      <t xml:space="preserve">Tabel 1.b  Projekti elluviimise </t>
    </r>
    <r>
      <rPr>
        <b/>
        <u/>
        <sz val="14"/>
        <color rgb="FFCC6600"/>
        <rFont val="Calibri"/>
        <family val="2"/>
        <charset val="186"/>
        <scheme val="minor"/>
      </rPr>
      <t>abikõlblikud</t>
    </r>
    <r>
      <rPr>
        <b/>
        <sz val="14"/>
        <color rgb="FFCC6600"/>
        <rFont val="Calibri"/>
        <family val="2"/>
        <charset val="186"/>
        <scheme val="minor"/>
      </rPr>
      <t xml:space="preserve"> kulud</t>
    </r>
  </si>
  <si>
    <t>Tabel 1.a  Projekti elluviimise kulud</t>
  </si>
  <si>
    <t>Tabelis 1.a märgitakse kõik projekti kulud (nii abikõlblikud kui mitteabikõlblikud kulud)</t>
  </si>
  <si>
    <t>Tabel 3  Tulude ja kulude prognoos, projektita stsenaarium (null-stsenaarium)</t>
  </si>
  <si>
    <t>Tabel 4  Lisanduvate tulude ja kulude prognoos (juurdekasvuline stsenaarium)</t>
  </si>
  <si>
    <t>Projekti mitteabikõlblikud kulud</t>
  </si>
  <si>
    <t>Reaalne diskontomäär</t>
  </si>
  <si>
    <t>aastat</t>
  </si>
  <si>
    <t>Nr</t>
  </si>
  <si>
    <t>Näitaja</t>
  </si>
  <si>
    <t>Tabel 5  Finantseerimisvajaku arvutuskäik ja vähendatud abikõlblike kulude leidmine</t>
  </si>
  <si>
    <t>Projekti elluviimise kulud</t>
  </si>
  <si>
    <t>Projekti vara jääkväärtus</t>
  </si>
  <si>
    <t>Projekti tegevustulud</t>
  </si>
  <si>
    <t>Projekti tegevuskulud</t>
  </si>
  <si>
    <t>Projekti puhastulu</t>
  </si>
  <si>
    <t>Finantseerimisvajak</t>
  </si>
  <si>
    <t>Finantseerimisvajaku määr</t>
  </si>
  <si>
    <t>Abikõlblikud projekti elluviimise kulud</t>
  </si>
  <si>
    <t>Toetuse määr</t>
  </si>
  <si>
    <t>Toetuse suurus</t>
  </si>
  <si>
    <r>
      <t xml:space="preserve">Toetustaotluse rahuldamise otsuses või programmis määratletud projekti abikõlblikud kulud, nn </t>
    </r>
    <r>
      <rPr>
        <b/>
        <sz val="11"/>
        <color theme="1"/>
        <rFont val="Calibri"/>
        <family val="2"/>
        <charset val="186"/>
        <scheme val="minor"/>
      </rPr>
      <t>vähendatud abikõlblikud kulud</t>
    </r>
  </si>
  <si>
    <r>
      <rPr>
        <b/>
        <sz val="11"/>
        <color theme="1"/>
        <rFont val="Calibri"/>
        <family val="2"/>
        <charset val="186"/>
        <scheme val="minor"/>
      </rPr>
      <t>Diskonteerimata väärtus</t>
    </r>
    <r>
      <rPr>
        <sz val="11"/>
        <color theme="1"/>
        <rFont val="Calibri"/>
        <family val="2"/>
        <charset val="186"/>
        <scheme val="minor"/>
      </rPr>
      <t xml:space="preserve"> (eur)</t>
    </r>
  </si>
  <si>
    <r>
      <rPr>
        <b/>
        <sz val="11"/>
        <color theme="1"/>
        <rFont val="Calibri"/>
        <family val="2"/>
        <charset val="186"/>
        <scheme val="minor"/>
      </rPr>
      <t>Diskonteeritud väärtus</t>
    </r>
    <r>
      <rPr>
        <sz val="11"/>
        <color theme="1"/>
        <rFont val="Calibri"/>
        <family val="2"/>
        <charset val="186"/>
        <scheme val="minor"/>
      </rPr>
      <t xml:space="preserve"> (eur)</t>
    </r>
  </si>
  <si>
    <t>Sisestage projekti kulude summad aastate kaupa</t>
  </si>
  <si>
    <t>Sisestage projekti abikõlblike kulude summad aastate kaupa</t>
  </si>
  <si>
    <t>Tulude poolel:</t>
  </si>
  <si>
    <t>Sisestage toodete/teenuste ühikute arvud ja ühikuhinnad</t>
  </si>
  <si>
    <t>Kulude poolel:</t>
  </si>
  <si>
    <t>Tabel 3</t>
  </si>
  <si>
    <t xml:space="preserve">Sisestage muude tulude ja kulude numbrid null-stsenaariumi korral </t>
  </si>
  <si>
    <t>Tabel 4</t>
  </si>
  <si>
    <t>Toodete/teenuste nimetused ning tulude ja kulude nimetused kanduvad üle tabelist 2</t>
  </si>
  <si>
    <t>Prognoosiperioodi algusaasta</t>
  </si>
  <si>
    <t>Prognoosiperioodi lõppaasta</t>
  </si>
  <si>
    <t>Perioodi pikkus</t>
  </si>
  <si>
    <t>Põhivara kasutusele võtmise kuu</t>
  </si>
  <si>
    <t>Põhivara kasutusele võtmise aasta</t>
  </si>
  <si>
    <t>Jaanuar</t>
  </si>
  <si>
    <t>Veebruar</t>
  </si>
  <si>
    <t>Aprill</t>
  </si>
  <si>
    <t>August</t>
  </si>
  <si>
    <t>September</t>
  </si>
  <si>
    <t>Oktoober</t>
  </si>
  <si>
    <t>November</t>
  </si>
  <si>
    <t>Detsember</t>
  </si>
  <si>
    <t>Amortiseerimise viimane aasta</t>
  </si>
  <si>
    <t>1. Kinnisasja ost</t>
  </si>
  <si>
    <t>2. Ehituslikud eeltööd</t>
  </si>
  <si>
    <t>Vajadusel lisage tulu- ja kuluridu ning kopeerige valemid</t>
  </si>
  <si>
    <t>RAHA SISSETULEKUD</t>
  </si>
  <si>
    <t>Toodete/teenuste müük</t>
  </si>
  <si>
    <t>RAHA SISSETULEK KOKKU</t>
  </si>
  <si>
    <t>RAHA VÄLJAMINEKUD</t>
  </si>
  <si>
    <t>Laenu põhiosa tagasimaksmine</t>
  </si>
  <si>
    <t>Laenuintressid</t>
  </si>
  <si>
    <t>RAHA VÄLJAMINEK KOKKU</t>
  </si>
  <si>
    <t>Sissetulekute ja  väljaminekute vahe</t>
  </si>
  <si>
    <t>Raha jääk kasvavalt</t>
  </si>
  <si>
    <t>Laenu jääk aasta lõpuks</t>
  </si>
  <si>
    <t>Tabel 6</t>
  </si>
  <si>
    <t>Rahavoogude tabelisse kanduvad üle tulude ja kulude prognoositud numbrid ning projekti kulud</t>
  </si>
  <si>
    <t>Lisage tabelisse EAS-i toetussummad, muud raha laekumised ja väljaminekud (näit laenude võtmised ja laenude tagasimaksmised, laenuintressid, muud toetused jne)</t>
  </si>
  <si>
    <t>Projekti kulud</t>
  </si>
  <si>
    <t>Prognoosiperioodi kulud</t>
  </si>
  <si>
    <t>Tulude ja kulude prognoosiperioodi pikkus (alates esimesest tulude/kulude tekkimise aastast) peab vastama juhendi nõuetele. Vajadusel korrigeerige prognooside tabelites prognoosiperioodi pikkust.</t>
  </si>
  <si>
    <t>Tabel 6  Rahavood projektikulude ja täis-stsenaariumi tulude-kulude alusel</t>
  </si>
  <si>
    <t>Lisanduvad tulud ja kulud arvutatakse automaatselt täis-stsenaariumi ja null-stsenaariumi näitajate järgi</t>
  </si>
  <si>
    <t>Muu toetus (nimetage)</t>
  </si>
  <si>
    <t>Tabel 1.a</t>
  </si>
  <si>
    <t>Tabel 1.b</t>
  </si>
  <si>
    <t>Sisestage null-stsenaariumi ühikute arvud ja hinnad (aastate kaupa)</t>
  </si>
  <si>
    <t>3. Inkubaatori või tootearenduskeskuse arendamise kulud kokku</t>
  </si>
  <si>
    <t>Muu tulu (nimetage)</t>
  </si>
  <si>
    <t>Tabel 2  Tulude ja kulude prognoos, projektiga stsenaarium (täis-stsenaarium)</t>
  </si>
  <si>
    <r>
      <t xml:space="preserve">Tulude ja kulude prognooside töölehtedel saab grupeeritud ridu avada ja sulgeda </t>
    </r>
    <r>
      <rPr>
        <b/>
        <sz val="12"/>
        <color theme="1"/>
        <rFont val="Calibri"/>
        <family val="2"/>
        <charset val="186"/>
        <scheme val="minor"/>
      </rPr>
      <t>+</t>
    </r>
    <r>
      <rPr>
        <sz val="11"/>
        <color theme="1"/>
        <rFont val="Calibri"/>
        <family val="2"/>
        <charset val="186"/>
        <scheme val="minor"/>
      </rPr>
      <t xml:space="preserve"> ja </t>
    </r>
    <r>
      <rPr>
        <b/>
        <sz val="12"/>
        <color theme="1"/>
        <rFont val="Calibri"/>
        <family val="2"/>
        <charset val="186"/>
        <scheme val="minor"/>
      </rPr>
      <t>-</t>
    </r>
    <r>
      <rPr>
        <sz val="11"/>
        <color theme="1"/>
        <rFont val="Calibri"/>
        <family val="2"/>
        <charset val="186"/>
        <scheme val="minor"/>
      </rPr>
      <t xml:space="preserve"> märgile vajutades (tabeli vasakul servas servas)</t>
    </r>
  </si>
  <si>
    <t>Tabel 2</t>
  </si>
  <si>
    <t>Sisestage tabelisse 2 toodete/teenuste nimetused ja ühikute nimetused. Sealt kanduvad need edasi ka tabelisse 3 ja tabelisse 4.</t>
  </si>
  <si>
    <t>Vajadusel lisage tululiikide ridu</t>
  </si>
  <si>
    <t>Sisestage tabelisse 2 tööjõukulude osas ametikohtade nimetused ning muude kulude puhul kulude nimetused</t>
  </si>
  <si>
    <t>Vajadusel lisage kululiikide ridu</t>
  </si>
  <si>
    <t>Tabelit 3 töölehel "3. Tulud-kulud projektita" ei tule täita täiesti uute rajatavate objektide puhul, kus senine toodete/teenuse pakkumine ning tulud-kulud puuduvad</t>
  </si>
  <si>
    <t>Vajadusel lisage tulu- ja kuluridu</t>
  </si>
  <si>
    <t>Finantsanalüüs</t>
  </si>
  <si>
    <t>Projekti nimi</t>
  </si>
  <si>
    <t>Taotleja nimi</t>
  </si>
  <si>
    <t>Kontaktisik</t>
  </si>
  <si>
    <t>E-post</t>
  </si>
  <si>
    <t>Telefon</t>
  </si>
  <si>
    <t>Arvestusperioodi algusaasta</t>
  </si>
  <si>
    <t>Arvestusperioodi lõppaasta</t>
  </si>
  <si>
    <t>Arvestusperioodi pikkus</t>
  </si>
  <si>
    <t>Arvestusperioodi pikkuse valiku põhjendus</t>
  </si>
  <si>
    <t>Projekti elluviimise aeg</t>
  </si>
  <si>
    <t>Alguskuupäev</t>
  </si>
  <si>
    <t>Lõppkuupäev</t>
  </si>
  <si>
    <r>
      <t xml:space="preserve">Projekti raames soetatava </t>
    </r>
    <r>
      <rPr>
        <b/>
        <u/>
        <sz val="12"/>
        <color rgb="FFCC6600"/>
        <rFont val="Calibri"/>
        <family val="2"/>
        <charset val="186"/>
        <scheme val="minor"/>
      </rPr>
      <t>põhivara</t>
    </r>
    <r>
      <rPr>
        <b/>
        <sz val="12"/>
        <color rgb="FFCC6600"/>
        <rFont val="Calibri"/>
        <family val="2"/>
        <charset val="186"/>
        <scheme val="minor"/>
      </rPr>
      <t xml:space="preserve"> kasulik eluiga</t>
    </r>
  </si>
  <si>
    <t>Kasuliku eluea viimane aasta</t>
  </si>
  <si>
    <t>Mitme aasta võrra ületab põhivara kasulik eluiga prognoosiperioodi</t>
  </si>
  <si>
    <t>Üldine</t>
  </si>
  <si>
    <t>Juhised finantsanalüüsi tabelite täitmiseks</t>
  </si>
  <si>
    <t>Brutopalgale lisanduvate tööjõumaksude määrad</t>
  </si>
  <si>
    <t>Sotsiaalmaksu määr</t>
  </si>
  <si>
    <t>Tööandjapoolne töötuskindlustusmakse määr</t>
  </si>
  <si>
    <t>Maksumäärad kokku</t>
  </si>
  <si>
    <t>Tulude ja kulude vahe kasvavalt</t>
  </si>
  <si>
    <t>Erakapital (nimetage)</t>
  </si>
  <si>
    <t>Tabel 7.a  Kapitali tasuvus juurdekasvulise stsenaariumi alusel</t>
  </si>
  <si>
    <t>Eesmärk on kontrollida, kas projekt on tulus kapitalipigutuse seisukohalt. Tuua välja selgitused näitajate tulemuste kohta.</t>
  </si>
  <si>
    <t>SISSETULEKUD</t>
  </si>
  <si>
    <t>Lisanduvad (juurdekasvulised) tulud</t>
  </si>
  <si>
    <t>Põhivara jääkväärtus</t>
  </si>
  <si>
    <t>SISSETULEKUD KOKKU</t>
  </si>
  <si>
    <t>VÄLJAMINEKUD</t>
  </si>
  <si>
    <t>Lisanduvad (juurdekasvulised) kulud</t>
  </si>
  <si>
    <t>Erakapital</t>
  </si>
  <si>
    <t>Toetused</t>
  </si>
  <si>
    <t>VÄLJAMINEKUD KOKKU</t>
  </si>
  <si>
    <t>Sissetulekute ja  väljaminekute vahe (netoväärtus)</t>
  </si>
  <si>
    <t>Diskontomäär</t>
  </si>
  <si>
    <t>Kapitali rahaline nüüdispuhasväärtus FNPV</t>
  </si>
  <si>
    <t>Kapitali rahaline tasuvuse määr  FRR/K</t>
  </si>
  <si>
    <t>Guess</t>
  </si>
  <si>
    <t>Tabel 7.b  Investeeringu tasuvus juurdekasvulise stsenaariumi alusel</t>
  </si>
  <si>
    <t>Need näitajad osutavad, kas projekti puhaslaekumisega on võimalik katta investeeringukulud, olenemata nende finantseerimisviisist.</t>
  </si>
  <si>
    <t>Projekti investeeringukulud</t>
  </si>
  <si>
    <t>Investeeringu rahaline nüüdispuhasväärtus FNPV</t>
  </si>
  <si>
    <t>Investeeringu rahaline tasuvuse määr  FRR/C</t>
  </si>
  <si>
    <t>Sisestage töölehel "Maksumäärad" sotsiaal- ja töötuskindlustusmakse määrade suurused aastate kaupa</t>
  </si>
  <si>
    <t>Tabel 5</t>
  </si>
  <si>
    <t>Tabel 5 täitub automaatselt eelmiste töölehtede andmete alusel.
Juhul, kui lähteandmete lahtreid/piirkondi ei ole muudetud, siis ei ole vaja siin tabelis ise midagi korrigeerida.</t>
  </si>
  <si>
    <t>Tabel 7</t>
  </si>
  <si>
    <t>Tabel 7 täitub automaatselt eelmiste töölehtede andmete alusel.
Juhul, kui lähteandmete lahtreid/piirkondi ei ole muudetud, siis ei ole vaja siin tabelis midagi lisada/korrigeerida.</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</si>
  <si>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</si>
  <si>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</si>
  <si>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</si>
  <si>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</si>
  <si>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</si>
  <si>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</si>
  <si>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</si>
  <si>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</si>
  <si>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</si>
  <si>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</si>
  <si>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</si>
  <si>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</si>
  <si>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</si>
  <si>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</si>
  <si>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</si>
  <si>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</si>
  <si>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</si>
  <si>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</si>
  <si>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</si>
  <si>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Sotsiaalmaksu määr:</t>
  </si>
  <si>
    <t>Töötuskindlustusmakse määr:</t>
  </si>
  <si>
    <t>Analüüsi koostamise kuupäev</t>
  </si>
  <si>
    <t>Tabel 8</t>
  </si>
  <si>
    <r>
      <t xml:space="preserve"> </t>
    </r>
    <r>
      <rPr>
        <b/>
        <sz val="11"/>
        <color theme="1"/>
        <rFont val="Calibri"/>
        <family val="2"/>
        <charset val="186"/>
        <scheme val="minor"/>
      </rPr>
      <t>Jääkväärtus</t>
    </r>
    <r>
      <rPr>
        <sz val="11"/>
        <color theme="1"/>
        <rFont val="Calibri"/>
        <family val="2"/>
        <charset val="186"/>
        <scheme val="minor"/>
      </rPr>
      <t xml:space="preserve"> - projekti väärtus arvestusperioodi viimasel aastal. 
Perioodi 2014-2020 kulu-tulude analüüsi juhendi kohaselt  arvutatakse jääkväärtus arvestusperioodi viimase aasta  lõpust kuni projekti eluea perioodi lõpuni, arvestades  sel perioodil arvestusperioodi viimase aasta rahavoogusid.
Näiteks kui projekti eluiga on 50 aastat ning arvestusperiood 30 aastat, eeldame, et pärast arvestusperioodi 20 aasta jooksul genereerib projekt rahavoogusid samal tasemel, mis arvestusperioodi viimasel aastal.  Rahavoogude NPV, mis genereeritakse 20 aasta jooksul pärast arvestusperioodi, lisatakse finantseerimisvajaku arvutamisel jääkväärtusena  arvestusperioodi viimasele aastale.</t>
    </r>
  </si>
  <si>
    <t>Juhul, kui projekti varale on vaja arvutada jääkväärtus, sisestage arvestusperioodi viimase aasta lisanduvate tulude ja kulude vahe number arvestusperioodi ületavate aastate lahtritesse.</t>
  </si>
  <si>
    <t xml:space="preserve">Tabel 8  Projekti vara jääkväärtuse arvutamine  </t>
  </si>
  <si>
    <r>
      <t xml:space="preserve">Arvestusperioodist pikema kasuliku elueaga projekti varade jääkväärtuse kindlaksmääramiseks tuleb arvutada nende allesjäänud kasutusaastate rahavoogude nüüdispuhasväärtus. Jääkväärtus arvestatakse arvestusperioodi viimase aasta  lõpust kuni projekti eluea perioodi lõpuni, arvestades  sel perioodil </t>
    </r>
    <r>
      <rPr>
        <b/>
        <sz val="10"/>
        <rFont val="Calibri"/>
        <family val="2"/>
        <charset val="186"/>
        <scheme val="minor"/>
      </rPr>
      <t>arvestusperioodi viimase aasta</t>
    </r>
    <r>
      <rPr>
        <sz val="10"/>
        <rFont val="Calibri"/>
        <family val="2"/>
        <charset val="186"/>
        <scheme val="minor"/>
      </rPr>
      <t xml:space="preserve"> rahavoogusid (st tulusid ja kulusid käsitletakse pärast arvestusperioodi lõppu konstantsena). </t>
    </r>
  </si>
  <si>
    <t>Projekti vara kasulik eluiga ületab arvestusperioodi</t>
  </si>
  <si>
    <t>Arvestusperiood</t>
  </si>
  <si>
    <t>Arvestusperioodi ületavad aastad</t>
  </si>
  <si>
    <t>Jääkväärtuse arvutamise vajalikkus</t>
  </si>
  <si>
    <t>Lisanduvate tulude ja kulude vahe prognoosiperioodi viimasel aastal</t>
  </si>
  <si>
    <t>Lisanduvate tulude ja kulude vahe arvestusperioodile järgnevatel kasuliku eluea aastatel (jääkväärtuse arvutamiseks)</t>
  </si>
  <si>
    <t>Projekti vara jääkväärtus finantseerimisvajaku arvutamiseks</t>
  </si>
  <si>
    <t>Projekti vara diskonteeritud jääkväärtus finantseerimisvajaku arvutamiseks</t>
  </si>
  <si>
    <t>Diskonteeritud lisanduvate tulude ja kulude vahe arvestusperioodil</t>
  </si>
  <si>
    <r>
      <t xml:space="preserve">Juhul kui projekti arvestusperioodi diskonteeritud lisanduvad kulud on suuremad või võrdsed kui diskonteeritud lisanduvad tulud, siis jääkväärtuse arvestust vaja teha ei ole ning tabelit 8 ei ole vaja täita.  
</t>
    </r>
    <r>
      <rPr>
        <b/>
        <sz val="11"/>
        <color theme="1"/>
        <rFont val="Calibri"/>
        <family val="2"/>
        <charset val="186"/>
        <scheme val="minor"/>
      </rPr>
      <t/>
    </r>
  </si>
  <si>
    <t xml:space="preserve">Projekti spetsiifiliste eelduste kohta  tulu-kulu osas esitada eraldi selgitused analüüsi tekstilise osana. </t>
  </si>
  <si>
    <t xml:space="preserve">Finatsanalüüsi koostatakse lähtuvalt tulu teenivate projektide juhendile programmperioodil 2014-2020. </t>
  </si>
  <si>
    <t>Finatsanalüüs koos puhastulu analüüsiga on vajalik koostada investeeringute (inkubatsioonikeskused)  toetuse osakaalu leidmiseks</t>
  </si>
  <si>
    <r>
      <t xml:space="preserve">Mittevajalikke ridu soovitame </t>
    </r>
    <r>
      <rPr>
        <b/>
        <sz val="11"/>
        <color rgb="FFC00000"/>
        <rFont val="Calibri"/>
        <family val="2"/>
        <charset val="186"/>
        <scheme val="minor"/>
      </rPr>
      <t>mitte kustutada</t>
    </r>
    <r>
      <rPr>
        <sz val="11"/>
        <color theme="1"/>
        <rFont val="Calibri"/>
        <family val="2"/>
        <charset val="186"/>
        <scheme val="minor"/>
      </rPr>
      <t xml:space="preserve"> (võib vajadusel varjata), kuna 2., 3. ja 4. töölehe tabelid on omavahel valemitega seotud</t>
    </r>
  </si>
  <si>
    <t>3.1. Inkubaatori  ehitamise kulud</t>
  </si>
  <si>
    <t>2022.a.  33%</t>
  </si>
  <si>
    <t>2022.a.  0,8%</t>
  </si>
  <si>
    <t>3. Ehitamine</t>
  </si>
  <si>
    <t>2. Ehituslikud eeltööd (põhiprojekt)</t>
  </si>
  <si>
    <t>3.2. Seadmete ostmise kulud</t>
  </si>
  <si>
    <t>4. Struktuuritoetuse andmisest avalikkuse teavitamine</t>
  </si>
  <si>
    <t>Сумарные показатели за период</t>
  </si>
  <si>
    <t>3 года</t>
  </si>
  <si>
    <t>5 лет</t>
  </si>
  <si>
    <t>10 лет</t>
  </si>
  <si>
    <t>Net Cash flow</t>
  </si>
  <si>
    <t>NPV:</t>
  </si>
  <si>
    <t>Tähendus</t>
  </si>
  <si>
    <t>NPV</t>
  </si>
  <si>
    <t>mln eurot</t>
  </si>
  <si>
    <t>PI</t>
  </si>
  <si>
    <t>IRR</t>
  </si>
  <si>
    <t>DPP</t>
  </si>
  <si>
    <t>aasta</t>
  </si>
  <si>
    <t>Сравнение основных показателей</t>
  </si>
  <si>
    <t>Дополнительные налоговые поступления (2016-2042)</t>
  </si>
  <si>
    <t>Дополнительный экспорт  (2016-2042)</t>
  </si>
  <si>
    <t>Дополнительные инвестиции (2016-2042)</t>
  </si>
  <si>
    <t>Дополнительные постоянные рабочие места  (2016-2042)</t>
  </si>
  <si>
    <t>Дополнительные рабочие места  (2016-2042)</t>
  </si>
  <si>
    <t>чел.</t>
  </si>
  <si>
    <t>Maht, m3</t>
  </si>
  <si>
    <t>А</t>
  </si>
  <si>
    <t>P</t>
  </si>
  <si>
    <t>IVIA</t>
  </si>
  <si>
    <t>N</t>
  </si>
  <si>
    <t>lift ja trepikoda</t>
  </si>
  <si>
    <t>Lift, trepikoda</t>
  </si>
  <si>
    <t>Ühisruumid</t>
  </si>
  <si>
    <t>Lift ja trepikoda</t>
  </si>
  <si>
    <t>Продуктивные</t>
  </si>
  <si>
    <t>Непродуктивные</t>
  </si>
  <si>
    <t>Inkubaator</t>
  </si>
  <si>
    <t>m2</t>
  </si>
  <si>
    <t>Objekt</t>
  </si>
  <si>
    <t>eurot/päev</t>
  </si>
  <si>
    <t>%</t>
  </si>
  <si>
    <t>Прочее</t>
  </si>
  <si>
    <t>в т.ч. расходы оплачиваемые клиентами</t>
  </si>
  <si>
    <t>в т.ч. расходы оплачиваемые IVIA</t>
  </si>
  <si>
    <t>Küte</t>
  </si>
  <si>
    <t>Elekter</t>
  </si>
  <si>
    <t>Обслуживание техносистем</t>
  </si>
  <si>
    <t xml:space="preserve">пожарн, отоплен, электр, вент </t>
  </si>
  <si>
    <t>Обслуживание ICT и автоматика систем (в т.ч. сервер)</t>
  </si>
  <si>
    <t>Маркетинг (собственное финансирование IVIA)</t>
  </si>
  <si>
    <t>Уборка</t>
  </si>
  <si>
    <t>Вывоз бытового мусора</t>
  </si>
  <si>
    <t>Уборка студий</t>
  </si>
  <si>
    <t>Уборка внешней территорий</t>
  </si>
  <si>
    <t>Покосы</t>
  </si>
  <si>
    <t>Снег на территории</t>
  </si>
  <si>
    <t>Снег с крыши</t>
  </si>
  <si>
    <t>Закупка хозтоваров, концтовары (IVIA)</t>
  </si>
  <si>
    <t>Связь, интернет</t>
  </si>
  <si>
    <t>EBITDA</t>
  </si>
  <si>
    <t>Andmed sotsiaalmajandusliku mõju analüüsiks</t>
  </si>
  <si>
    <t>MÕJU INKUBATSIOONIKESKUSE INKUBANTIDE TEGEVUSEST</t>
  </si>
  <si>
    <t>Ettevõtete arv</t>
  </si>
  <si>
    <t>Ettevõtete arv inkubaatoris jooksvas aastas</t>
  </si>
  <si>
    <t>Ettevõtete ellujäämise määr peale inkubatsioonist väljumist:</t>
  </si>
  <si>
    <t>Ettevõtte elutsükkel, aastat</t>
  </si>
  <si>
    <t>Ettevõtete parameetrid kumulatiivselt</t>
  </si>
  <si>
    <t>1-3</t>
  </si>
  <si>
    <t>4-5</t>
  </si>
  <si>
    <t>6-8</t>
  </si>
  <si>
    <t>9-10</t>
  </si>
  <si>
    <t>10+</t>
  </si>
  <si>
    <t>Töötajate keskmine arv, in.</t>
  </si>
  <si>
    <t>Töötajate keskmine brutopalk Ida-Virumaal, eurot/kuus</t>
  </si>
  <si>
    <t>Ekspordi osakaal müügis, keskmiselt, %</t>
  </si>
  <si>
    <t>Lisandväärtuse osakaal toote hinnas, keskmiselt, %</t>
  </si>
  <si>
    <t>13 лет</t>
  </si>
  <si>
    <t>в т.ч возраст:</t>
  </si>
  <si>
    <t>1-3 лет</t>
  </si>
  <si>
    <t>4-5 лет</t>
  </si>
  <si>
    <t>6-8 лет</t>
  </si>
  <si>
    <t>9-10 лет</t>
  </si>
  <si>
    <t xml:space="preserve"> +10 лет</t>
  </si>
  <si>
    <t>Ettevõtte keskmine müügikäive, eurot/aastas</t>
  </si>
  <si>
    <t>IVIA laen</t>
  </si>
  <si>
    <t>Inkubaatori  ehitamise kulud</t>
  </si>
  <si>
    <t>Seadmete ostmise kulud</t>
  </si>
  <si>
    <t>5 aastat</t>
  </si>
  <si>
    <t>10 aastat</t>
  </si>
  <si>
    <t>Uued töökohad, in</t>
  </si>
  <si>
    <t>Maksude täiendav laekumine, mln eurot</t>
  </si>
  <si>
    <t>sh sotsiaalmaks, mln eurot</t>
  </si>
  <si>
    <t>sh tulumaks, mln eurot</t>
  </si>
  <si>
    <t>sh KM, mln eurot</t>
  </si>
  <si>
    <t>sh laekumine kohalikesse eelarvetesse, mln eurot</t>
  </si>
  <si>
    <t>Ekspordi kasv regioonis, mln eurot</t>
  </si>
  <si>
    <t>Lisandväärtuse kasv, mln eurot</t>
  </si>
  <si>
    <t>Summaarsed näitajad peale Jõhvi Inkubaatori käivitamist</t>
  </si>
  <si>
    <t>Müügitulu uutest ettevõtmistest, mln eurot</t>
  </si>
  <si>
    <t>Kokku</t>
  </si>
  <si>
    <t>th eurot/aastas</t>
  </si>
  <si>
    <t>TEGEVUSEELARVE</t>
  </si>
  <si>
    <t>Kuu</t>
  </si>
  <si>
    <t>Tulud kokku</t>
  </si>
  <si>
    <t>Tulud</t>
  </si>
  <si>
    <t>Kulud</t>
  </si>
  <si>
    <t>Tegevuskulud</t>
  </si>
  <si>
    <t>Tegevuskulud kokku</t>
  </si>
  <si>
    <t>Kulud kokku</t>
  </si>
  <si>
    <t>Kasum</t>
  </si>
  <si>
    <t>EUR/kuu</t>
  </si>
  <si>
    <t>EUR/aasta</t>
  </si>
  <si>
    <t>% kogu sissetulekust</t>
  </si>
  <si>
    <t>% kõigist kuludest</t>
  </si>
  <si>
    <t>% tegevus-kuludest</t>
  </si>
  <si>
    <t>Eksport</t>
  </si>
  <si>
    <t>eurot</t>
  </si>
  <si>
    <t>Projekti tasuvusanalüüs avalikule sektorile</t>
  </si>
  <si>
    <t>Avaliku sektori investeeringud</t>
  </si>
  <si>
    <t>Avaliku sektori tulud</t>
  </si>
  <si>
    <t>Akkumuleeritud Net Cash Flow</t>
  </si>
  <si>
    <t>Diskonteerimismäär</t>
  </si>
  <si>
    <t>Koefitsient</t>
  </si>
  <si>
    <t>Diskonteeritud investeeringud</t>
  </si>
  <si>
    <t>Diskonteeritud tulud</t>
  </si>
  <si>
    <t>Diskonteeritud Net Cash Flow</t>
  </si>
  <si>
    <t>Diskonteeritud akkumuleeritud Net Cash Flow</t>
  </si>
  <si>
    <t>Otsesed ja kaudsed maksud kokku</t>
  </si>
  <si>
    <t>sh sotsiaalmaks</t>
  </si>
  <si>
    <t>sh tulumaks</t>
  </si>
  <si>
    <t>sh KOV-le (11,57%)</t>
  </si>
  <si>
    <t>sh KM</t>
  </si>
  <si>
    <t>Uued töökohad kokku</t>
  </si>
  <si>
    <t>Uusi ettevõtteid kokku</t>
  </si>
  <si>
    <t>Ettevõtete muud tulemused kokku:</t>
  </si>
  <si>
    <t>Lisandväärtus</t>
  </si>
  <si>
    <t>Müük</t>
  </si>
  <si>
    <t>Ekspordi kasv</t>
  </si>
  <si>
    <t>Töökohad (kokku)</t>
  </si>
  <si>
    <t>Töötasufond</t>
  </si>
  <si>
    <t>Sotsiaalmaks</t>
  </si>
  <si>
    <t>Tulumaks</t>
  </si>
  <si>
    <t>sh riigieelarvesse</t>
  </si>
  <si>
    <t>KM</t>
  </si>
  <si>
    <t>Arvestamise alus</t>
  </si>
  <si>
    <t>m3</t>
  </si>
  <si>
    <t>Objekt kuulub kategooriasse Äriinfrastruktuur. Selle kategooria puhul on arvestusperioodi pikkus RM juhendi järgi 10-15 aastat. Maksimaalse perioodi valimisel lähtuti realistlikust perioodist, mil ehitatud infrastruktuur ei nõua suuri renoveerimiskulusid.</t>
  </si>
  <si>
    <t>Sihtasutus Ida-Viru Investeeringute Agentuur</t>
  </si>
  <si>
    <t>Teet Kuusmik</t>
  </si>
  <si>
    <t>teet.kuusmik@ivia.ee</t>
  </si>
  <si>
    <t>511 4685</t>
  </si>
  <si>
    <t>Üüritulud</t>
  </si>
  <si>
    <t>Arved üürnikele kommunaalkulude eest</t>
  </si>
  <si>
    <t>Haldusjuht</t>
  </si>
  <si>
    <t>Majandusjuht</t>
  </si>
  <si>
    <t>Vesi ja kanalisatsioon</t>
  </si>
  <si>
    <t>sh külm vesi</t>
  </si>
  <si>
    <t>sh soe vesi</t>
  </si>
  <si>
    <t>Tehnohooldus</t>
  </si>
  <si>
    <t>Turundus</t>
  </si>
  <si>
    <t>Hooldus (territoorium)</t>
  </si>
  <si>
    <t>Valve</t>
  </si>
  <si>
    <t>Kindlustus</t>
  </si>
  <si>
    <t>Muu</t>
  </si>
  <si>
    <t>Amortisatsioon</t>
  </si>
  <si>
    <t>Remonditööd</t>
  </si>
  <si>
    <t>Jooksev remont</t>
  </si>
  <si>
    <t>Personalikulud</t>
  </si>
  <si>
    <t>Kommunaalteenused</t>
  </si>
  <si>
    <t>Tehnilised ruumid</t>
  </si>
  <si>
    <t>Inkubaator kokku</t>
  </si>
  <si>
    <t>Kohvik</t>
  </si>
  <si>
    <t>Seminariruumid</t>
  </si>
  <si>
    <t>Fuajee</t>
  </si>
  <si>
    <t>Open Office (12 kohta)</t>
  </si>
  <si>
    <t xml:space="preserve"> IVIA</t>
  </si>
  <si>
    <t>Teised üürnikud</t>
  </si>
  <si>
    <t>SISENDANDMED</t>
  </si>
  <si>
    <t>Kommunaalteenuste maksumus</t>
  </si>
  <si>
    <t>Elektrienergia</t>
  </si>
  <si>
    <t>Külm vesi</t>
  </si>
  <si>
    <t>Soe vesi</t>
  </si>
  <si>
    <t>Kanalisatsioon</t>
  </si>
  <si>
    <t>euro/m3</t>
  </si>
  <si>
    <t>euro/KWh</t>
  </si>
  <si>
    <t>Teenuste tarbimise hinnangulised keskmised näitajad</t>
  </si>
  <si>
    <t>Üüriruumid</t>
  </si>
  <si>
    <t>Vabanevad ruumid</t>
  </si>
  <si>
    <t>Stuudio</t>
  </si>
  <si>
    <t>W/1 m2/tunnis</t>
  </si>
  <si>
    <t>m3/in/kuus</t>
  </si>
  <si>
    <t>Ruumide jaotus</t>
  </si>
  <si>
    <t>Vabad ruumid</t>
  </si>
  <si>
    <t>Tööreziim</t>
  </si>
  <si>
    <t>1 ettevõte</t>
  </si>
  <si>
    <t>Vahetuste arv</t>
  </si>
  <si>
    <t>Töötundide keskmine arv päevas</t>
  </si>
  <si>
    <t>Töötundide keskmine arv aastas</t>
  </si>
  <si>
    <t>Valgustuse reziim:</t>
  </si>
  <si>
    <t>Ööreziim, tundi päevas</t>
  </si>
  <si>
    <t>Ööreziim, tundi aastas</t>
  </si>
  <si>
    <t>Töötajad ja külastajad</t>
  </si>
  <si>
    <t>Inimeste arv</t>
  </si>
  <si>
    <t>Üüriruumid (m2)/1 in</t>
  </si>
  <si>
    <t>Korrus</t>
  </si>
  <si>
    <t>1 korrus</t>
  </si>
  <si>
    <t>2 korrus</t>
  </si>
  <si>
    <t>4 korrus</t>
  </si>
  <si>
    <t>5 korrus</t>
  </si>
  <si>
    <t>6 korrus</t>
  </si>
  <si>
    <t>Puhkeala</t>
  </si>
  <si>
    <t>Brutto pind, m2</t>
  </si>
  <si>
    <t>Netto pind, m2</t>
  </si>
  <si>
    <t>sh üüriruumid, m2</t>
  </si>
  <si>
    <t>sh muud ruumid, m2</t>
  </si>
  <si>
    <t>IVIA osakaal üüriruumides</t>
  </si>
  <si>
    <t>Üürnike ja IVIA kogukulude jaotuse % arvutamine (vastavalt üüripindade osakaalule)</t>
  </si>
  <si>
    <t>Üüripinnad</t>
  </si>
  <si>
    <t>Välja üüritud</t>
  </si>
  <si>
    <t>Vabad üüripinnad + IVIA</t>
  </si>
  <si>
    <t>Üüritulu kokku</t>
  </si>
  <si>
    <t>Valgustus</t>
  </si>
  <si>
    <t>Hooldus (hooned)</t>
  </si>
  <si>
    <t>Arved üld- ja kommunaalkulude eest kokku</t>
  </si>
  <si>
    <t>Tuluühik</t>
  </si>
  <si>
    <t>Täituvuse protsent</t>
  </si>
  <si>
    <t>Tulu, eurot/kuus</t>
  </si>
  <si>
    <t>Tulu, eurot/aastas</t>
  </si>
  <si>
    <t>% kõikidest tuludest</t>
  </si>
  <si>
    <t>eurot/m2 kuus</t>
  </si>
  <si>
    <t>eurot/1 töökoht/päevas</t>
  </si>
  <si>
    <t>Maksumus, eurot/kuus</t>
  </si>
  <si>
    <t>Maksumus, eurot/aastas</t>
  </si>
  <si>
    <t>Kuus</t>
  </si>
  <si>
    <t>Aastas</t>
  </si>
  <si>
    <t>Välja üüritud + % ühis</t>
  </si>
  <si>
    <t>Vabad ruumid + % ühis</t>
  </si>
  <si>
    <t>kW/aastas</t>
  </si>
  <si>
    <t>kW*h/aastas</t>
  </si>
  <si>
    <t>IVIA+% ühis</t>
  </si>
  <si>
    <t>% investeeringud</t>
  </si>
  <si>
    <t>Amortisatsioon kokku</t>
  </si>
  <si>
    <t>Inkubeeritavate ettevõtete mõju</t>
  </si>
  <si>
    <t>Uued ettevõtted:</t>
  </si>
  <si>
    <t>jooksev aasta</t>
  </si>
  <si>
    <t>ellujäämise % 5 aasta jooksul</t>
  </si>
  <si>
    <t>tegutsevad ettevõtted arvestades ellujäämise %</t>
  </si>
  <si>
    <t>Maksud kokku kõikidesse eelarvetesse</t>
  </si>
  <si>
    <t>mln eurot/aastas</t>
  </si>
  <si>
    <t>ettevõtet</t>
  </si>
  <si>
    <t>inimest</t>
  </si>
  <si>
    <t>13 aastat</t>
  </si>
  <si>
    <t>Занятость в проекте:</t>
  </si>
  <si>
    <t>(2 раза х неделя х 8 ч. х 10 евро + 700/год) х 1 объекта</t>
  </si>
  <si>
    <t>300 евро в месяц х 3 месяца</t>
  </si>
  <si>
    <t>1 раз/месяц х 6ч х 13,5 евро х 7 мес</t>
  </si>
  <si>
    <t>Asendusinvesteeringuid</t>
  </si>
  <si>
    <t>aasta number pärast projekti elluviimist</t>
  </si>
  <si>
    <t>% asendamine esialgsest maksumusest</t>
  </si>
  <si>
    <t>Sisustus, eurot</t>
  </si>
  <si>
    <t>Asendusinvesteeringud:</t>
  </si>
  <si>
    <t>Üürituba</t>
  </si>
  <si>
    <t>Arendusjuht</t>
  </si>
  <si>
    <t>Laenu põhiosa tagasimaksmine (IVIA laen)</t>
  </si>
  <si>
    <t>Kokku rendile</t>
  </si>
  <si>
    <t>Renditud</t>
  </si>
  <si>
    <t>Ei ole renditud</t>
  </si>
  <si>
    <t>1 - 3</t>
  </si>
  <si>
    <t>4 - 7</t>
  </si>
  <si>
    <t>8 - 13</t>
  </si>
  <si>
    <t>(stsenaarium: max täituvus)</t>
  </si>
  <si>
    <t>Sisustus</t>
  </si>
  <si>
    <t>Periood, aastat projekti realiseerumisest</t>
  </si>
  <si>
    <t xml:space="preserve">Keskmine täituvus </t>
  </si>
  <si>
    <t>Keskmise täituvuse stsenaariumid</t>
  </si>
  <si>
    <t>Tulud, eurot/aastas</t>
  </si>
  <si>
    <t>vähene</t>
  </si>
  <si>
    <t>keskmine</t>
  </si>
  <si>
    <t>kõrge</t>
  </si>
  <si>
    <t>Kulud (amortisatsioonita), eurot/aastas</t>
  </si>
  <si>
    <t>EBITDA, eurot/aastas</t>
  </si>
  <si>
    <t>Kasum, eurot/aastas</t>
  </si>
  <si>
    <t>ÕÜF toetus</t>
  </si>
  <si>
    <t>Üüritulud. 1 korrus. Kohvik</t>
  </si>
  <si>
    <t xml:space="preserve">Üüritulud. 3 korrus. Open Office. </t>
  </si>
  <si>
    <t>Üüritulud. 5 korrus. Üürituba</t>
  </si>
  <si>
    <t>Üürikabinetid</t>
  </si>
  <si>
    <r>
      <t>m</t>
    </r>
    <r>
      <rPr>
        <sz val="12"/>
        <color theme="1"/>
        <rFont val="Calibri"/>
        <family val="2"/>
        <charset val="204"/>
        <scheme val="minor"/>
      </rPr>
      <t>2</t>
    </r>
  </si>
  <si>
    <t>Eur/m2/aastas</t>
  </si>
  <si>
    <t>Kohta</t>
  </si>
  <si>
    <t>Eur/kohta/aastas</t>
  </si>
  <si>
    <t>Kuud</t>
  </si>
  <si>
    <t>Eur/kuus</t>
  </si>
  <si>
    <t>Üüritulud. 4 korrus. Üürikabinet</t>
  </si>
  <si>
    <t>Üürikabinet</t>
  </si>
  <si>
    <t>ettevõte</t>
  </si>
  <si>
    <t>Üüritulud. 4 korrus. Üüriruumid</t>
  </si>
  <si>
    <t>Üüritulud. 3 korrus. Üüriruumid</t>
  </si>
  <si>
    <t>Üüritulud. 2 korrus. Üüriruumid</t>
  </si>
  <si>
    <t>Üüritulud. 5 korrus. Üüriruumid</t>
  </si>
  <si>
    <t>3 korrus</t>
  </si>
  <si>
    <t>Inkubant-ettevõtted</t>
  </si>
  <si>
    <t>Keskküte</t>
  </si>
  <si>
    <t>euro/MW</t>
  </si>
  <si>
    <t>kW/1 m3/aastas</t>
  </si>
  <si>
    <t>MW/aastas</t>
  </si>
  <si>
    <t>Jõhvi digi- ja multimeedia inkubatsioonikeskus</t>
  </si>
  <si>
    <t>bruttopalk, eurot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</si>
</sst>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0\ &quot;€&quot;;[Red]\-#,##0\ &quot;€&quot;"/>
    <numFmt numFmtId="165" formatCode="#,##0.00\ &quot;€&quot;;[Red]\-#,##0.00\ &quot;€&quot;"/>
    <numFmt numFmtId="166" formatCode="_-* #,##0\ _k_r_-;\-* #,##0\ _k_r_-;_-* &quot;-&quot;\ _k_r_-;_-@_-"/>
    <numFmt numFmtId="167" formatCode="#,##0_ ;[Red]\-#,##0\ "/>
    <numFmt numFmtId="168" formatCode="0.0%"/>
    <numFmt numFmtId="169" formatCode="#,##0\ [$€-425]"/>
    <numFmt numFmtId="170" formatCode="#,##0\ [$€-425];[Red]\-#,##0\ [$€-425]"/>
    <numFmt numFmtId="171" formatCode="#,##0.00\ [$€-425]"/>
    <numFmt numFmtId="172" formatCode="[$-425]d\.\ mmmm\ yyyy&quot;. a.&quot;;@"/>
    <numFmt numFmtId="173" formatCode="0.000"/>
    <numFmt numFmtId="174" formatCode="0.0"/>
    <numFmt numFmtId="175" formatCode="#,##0.0,,;;"/>
    <numFmt numFmtId="176" formatCode="#,##0,,;;"/>
    <numFmt numFmtId="177" formatCode="#,##0.00,,;;"/>
    <numFmt numFmtId="178" formatCode="#,##0.00,,;\-#,##0.00,,;"/>
    <numFmt numFmtId="179" formatCode="#,##0,,;\-#,##0,,;"/>
    <numFmt numFmtId="180" formatCode="#,##0.00,,;\-#,##0.00,,;0"/>
    <numFmt numFmtId="181" formatCode="#,##0.0_ ;[Red]\-#,##0.0\ "/>
  </numFmts>
  <fonts count="129" x14ac:knownFonts="1">
    <font>
      <sz val="11"/>
      <color theme="1"/>
      <name val="Calibri"/>
      <family val="2"/>
      <charset val="186"/>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186"/>
      <scheme val="minor"/>
    </font>
    <font>
      <sz val="9"/>
      <color indexed="81"/>
      <name val="Tahoma"/>
      <family val="2"/>
      <charset val="186"/>
    </font>
    <font>
      <u/>
      <sz val="9"/>
      <color indexed="12"/>
      <name val="Tahoma"/>
      <family val="2"/>
      <charset val="186"/>
    </font>
    <font>
      <b/>
      <sz val="12"/>
      <color theme="1"/>
      <name val="Calibri"/>
      <family val="2"/>
      <charset val="186"/>
      <scheme val="minor"/>
    </font>
    <font>
      <sz val="12"/>
      <color theme="1"/>
      <name val="Calibri"/>
      <family val="2"/>
      <charset val="186"/>
      <scheme val="minor"/>
    </font>
    <font>
      <sz val="9"/>
      <color theme="1"/>
      <name val="Calibri"/>
      <family val="2"/>
      <charset val="186"/>
      <scheme val="minor"/>
    </font>
    <font>
      <b/>
      <sz val="12"/>
      <color rgb="FFC00000"/>
      <name val="Calibri"/>
      <family val="2"/>
      <charset val="186"/>
      <scheme val="minor"/>
    </font>
    <font>
      <b/>
      <sz val="14"/>
      <color rgb="FFC00000"/>
      <name val="Calibri"/>
      <family val="2"/>
      <charset val="186"/>
      <scheme val="minor"/>
    </font>
    <font>
      <b/>
      <sz val="11"/>
      <color rgb="FFC00000"/>
      <name val="Calibri"/>
      <family val="2"/>
      <charset val="186"/>
      <scheme val="minor"/>
    </font>
    <font>
      <sz val="11"/>
      <color rgb="FFC00000"/>
      <name val="Calibri"/>
      <family val="2"/>
      <charset val="186"/>
      <scheme val="minor"/>
    </font>
    <font>
      <sz val="8"/>
      <color rgb="FFC00000"/>
      <name val="Calibri"/>
      <family val="2"/>
      <charset val="186"/>
      <scheme val="minor"/>
    </font>
    <font>
      <sz val="9"/>
      <color rgb="FFC00000"/>
      <name val="Calibri"/>
      <family val="2"/>
      <charset val="186"/>
      <scheme val="minor"/>
    </font>
    <font>
      <b/>
      <sz val="14"/>
      <color rgb="FF008000"/>
      <name val="Calibri"/>
      <family val="2"/>
      <charset val="186"/>
      <scheme val="minor"/>
    </font>
    <font>
      <sz val="11"/>
      <color rgb="FF008000"/>
      <name val="Calibri"/>
      <family val="2"/>
      <charset val="186"/>
      <scheme val="minor"/>
    </font>
    <font>
      <b/>
      <sz val="12"/>
      <color rgb="FF008000"/>
      <name val="Calibri"/>
      <family val="2"/>
      <charset val="186"/>
      <scheme val="minor"/>
    </font>
    <font>
      <sz val="8"/>
      <color rgb="FF008000"/>
      <name val="Calibri"/>
      <family val="2"/>
      <charset val="186"/>
      <scheme val="minor"/>
    </font>
    <font>
      <sz val="9"/>
      <color rgb="FF008000"/>
      <name val="Calibri"/>
      <family val="2"/>
      <charset val="186"/>
      <scheme val="minor"/>
    </font>
    <font>
      <b/>
      <sz val="11"/>
      <color rgb="FF008000"/>
      <name val="Calibri"/>
      <family val="2"/>
      <charset val="186"/>
      <scheme val="minor"/>
    </font>
    <font>
      <b/>
      <sz val="14"/>
      <color rgb="FF000099"/>
      <name val="Calibri"/>
      <family val="2"/>
      <charset val="186"/>
      <scheme val="minor"/>
    </font>
    <font>
      <b/>
      <sz val="12"/>
      <color rgb="FF000099"/>
      <name val="Calibri"/>
      <family val="2"/>
      <charset val="186"/>
      <scheme val="minor"/>
    </font>
    <font>
      <sz val="11"/>
      <color rgb="FF000099"/>
      <name val="Calibri"/>
      <family val="2"/>
      <charset val="186"/>
      <scheme val="minor"/>
    </font>
    <font>
      <sz val="8"/>
      <color rgb="FF000099"/>
      <name val="Calibri"/>
      <family val="2"/>
      <charset val="186"/>
      <scheme val="minor"/>
    </font>
    <font>
      <sz val="9"/>
      <color rgb="FF000099"/>
      <name val="Calibri"/>
      <family val="2"/>
      <charset val="186"/>
      <scheme val="minor"/>
    </font>
    <font>
      <b/>
      <sz val="11"/>
      <color rgb="FF000099"/>
      <name val="Calibri"/>
      <family val="2"/>
      <charset val="186"/>
      <scheme val="minor"/>
    </font>
    <font>
      <sz val="8"/>
      <color theme="1"/>
      <name val="Calibri"/>
      <family val="2"/>
      <charset val="186"/>
      <scheme val="minor"/>
    </font>
    <font>
      <b/>
      <sz val="14"/>
      <color rgb="FFCC6600"/>
      <name val="Calibri"/>
      <family val="2"/>
      <charset val="186"/>
      <scheme val="minor"/>
    </font>
    <font>
      <b/>
      <sz val="11"/>
      <color rgb="FFCC6600"/>
      <name val="Calibri"/>
      <family val="2"/>
      <charset val="186"/>
      <scheme val="minor"/>
    </font>
    <font>
      <sz val="10"/>
      <color rgb="FFCC6600"/>
      <name val="Calibri"/>
      <family val="2"/>
      <charset val="186"/>
      <scheme val="minor"/>
    </font>
    <font>
      <b/>
      <sz val="12"/>
      <color rgb="FFCC6600"/>
      <name val="Calibri"/>
      <family val="2"/>
      <charset val="186"/>
      <scheme val="minor"/>
    </font>
    <font>
      <b/>
      <u/>
      <sz val="14"/>
      <color rgb="FFCC6600"/>
      <name val="Calibri"/>
      <family val="2"/>
      <charset val="186"/>
      <scheme val="minor"/>
    </font>
    <font>
      <i/>
      <sz val="10"/>
      <color rgb="FFCC6600"/>
      <name val="Calibri"/>
      <family val="2"/>
      <charset val="186"/>
      <scheme val="minor"/>
    </font>
    <font>
      <b/>
      <sz val="10"/>
      <color rgb="FFCC6600"/>
      <name val="Calibri"/>
      <family val="2"/>
      <charset val="186"/>
      <scheme val="minor"/>
    </font>
    <font>
      <sz val="11"/>
      <color theme="1"/>
      <name val="Calibri"/>
      <family val="2"/>
      <charset val="186"/>
      <scheme val="minor"/>
    </font>
    <font>
      <b/>
      <sz val="14"/>
      <color theme="1"/>
      <name val="Calibri"/>
      <family val="2"/>
      <charset val="186"/>
      <scheme val="minor"/>
    </font>
    <font>
      <b/>
      <sz val="14"/>
      <color rgb="FF7030A0"/>
      <name val="Calibri"/>
      <family val="2"/>
      <charset val="186"/>
      <scheme val="minor"/>
    </font>
    <font>
      <b/>
      <sz val="12"/>
      <color rgb="FF7030A0"/>
      <name val="Calibri"/>
      <family val="2"/>
      <charset val="186"/>
      <scheme val="minor"/>
    </font>
    <font>
      <b/>
      <sz val="11"/>
      <color rgb="FF7030A0"/>
      <name val="Calibri"/>
      <family val="2"/>
      <charset val="186"/>
      <scheme val="minor"/>
    </font>
    <font>
      <b/>
      <u/>
      <sz val="11"/>
      <color rgb="FFC00000"/>
      <name val="Calibri"/>
      <family val="2"/>
      <charset val="186"/>
      <scheme val="minor"/>
    </font>
    <font>
      <sz val="9"/>
      <name val="Calibri"/>
      <family val="2"/>
      <charset val="186"/>
      <scheme val="minor"/>
    </font>
    <font>
      <b/>
      <u/>
      <sz val="12"/>
      <color rgb="FFCC6600"/>
      <name val="Calibri"/>
      <family val="2"/>
      <charset val="186"/>
      <scheme val="minor"/>
    </font>
    <font>
      <sz val="11"/>
      <name val="Calibri"/>
      <family val="2"/>
      <charset val="186"/>
      <scheme val="minor"/>
    </font>
    <font>
      <sz val="9"/>
      <color rgb="FFCC6600"/>
      <name val="Calibri"/>
      <family val="2"/>
      <charset val="186"/>
      <scheme val="minor"/>
    </font>
    <font>
      <b/>
      <sz val="14"/>
      <color rgb="FF517A00"/>
      <name val="Calibri"/>
      <family val="2"/>
      <charset val="186"/>
      <scheme val="minor"/>
    </font>
    <font>
      <sz val="10"/>
      <color theme="1"/>
      <name val="Calibri"/>
      <family val="2"/>
      <charset val="186"/>
      <scheme val="minor"/>
    </font>
    <font>
      <b/>
      <sz val="12"/>
      <color rgb="FF517A00"/>
      <name val="Calibri"/>
      <family val="2"/>
      <charset val="186"/>
      <scheme val="minor"/>
    </font>
    <font>
      <sz val="10"/>
      <color rgb="FF517A00"/>
      <name val="Calibri"/>
      <family val="2"/>
      <charset val="186"/>
      <scheme val="minor"/>
    </font>
    <font>
      <i/>
      <sz val="10"/>
      <color theme="1"/>
      <name val="Calibri"/>
      <family val="2"/>
      <charset val="186"/>
      <scheme val="minor"/>
    </font>
    <font>
      <sz val="11"/>
      <color rgb="FF0000FF"/>
      <name val="Calibri"/>
      <family val="2"/>
      <charset val="186"/>
      <scheme val="minor"/>
    </font>
    <font>
      <u/>
      <sz val="11"/>
      <color theme="10"/>
      <name val="Calibri"/>
      <family val="2"/>
      <charset val="186"/>
      <scheme val="minor"/>
    </font>
    <font>
      <sz val="10"/>
      <color rgb="FF0000FF"/>
      <name val="Calibri"/>
      <family val="2"/>
      <charset val="186"/>
      <scheme val="minor"/>
    </font>
    <font>
      <b/>
      <sz val="14"/>
      <color rgb="FF1D77C9"/>
      <name val="Calibri"/>
      <family val="2"/>
      <charset val="186"/>
      <scheme val="minor"/>
    </font>
    <font>
      <b/>
      <sz val="12"/>
      <color rgb="FF1D77C9"/>
      <name val="Calibri"/>
      <family val="2"/>
      <charset val="186"/>
      <scheme val="minor"/>
    </font>
    <font>
      <sz val="11"/>
      <color rgb="FF1D77C9"/>
      <name val="Calibri"/>
      <family val="2"/>
      <charset val="186"/>
      <scheme val="minor"/>
    </font>
    <font>
      <sz val="10"/>
      <color rgb="FF1D77C9"/>
      <name val="Calibri"/>
      <family val="2"/>
      <charset val="186"/>
      <scheme val="minor"/>
    </font>
    <font>
      <i/>
      <u/>
      <sz val="11"/>
      <color theme="1"/>
      <name val="Calibri"/>
      <family val="2"/>
      <charset val="186"/>
      <scheme val="minor"/>
    </font>
    <font>
      <i/>
      <sz val="11"/>
      <color theme="1"/>
      <name val="Calibri"/>
      <family val="2"/>
      <charset val="186"/>
      <scheme val="minor"/>
    </font>
    <font>
      <sz val="10"/>
      <name val="Calibri"/>
      <family val="2"/>
      <charset val="186"/>
      <scheme val="minor"/>
    </font>
    <font>
      <b/>
      <sz val="10"/>
      <name val="Calibri"/>
      <family val="2"/>
      <charset val="186"/>
      <scheme val="minor"/>
    </font>
    <font>
      <b/>
      <sz val="14"/>
      <color rgb="FF00B0F0"/>
      <name val="Calibri"/>
      <family val="2"/>
      <charset val="186"/>
      <scheme val="minor"/>
    </font>
    <font>
      <b/>
      <sz val="12"/>
      <name val="Calibri"/>
      <family val="2"/>
      <charset val="186"/>
      <scheme val="minor"/>
    </font>
    <font>
      <sz val="12"/>
      <color rgb="FF0000FF"/>
      <name val="Calibri"/>
      <family val="2"/>
      <charset val="186"/>
      <scheme val="minor"/>
    </font>
    <font>
      <sz val="8"/>
      <name val="Calibri"/>
      <family val="2"/>
      <charset val="186"/>
      <scheme val="minor"/>
    </font>
    <font>
      <i/>
      <sz val="9"/>
      <color theme="1"/>
      <name val="Calibri"/>
      <family val="2"/>
      <charset val="186"/>
      <scheme val="minor"/>
    </font>
    <font>
      <strike/>
      <sz val="11"/>
      <color rgb="FFFF0000"/>
      <name val="Calibri"/>
      <family val="2"/>
      <charset val="186"/>
      <scheme val="minor"/>
    </font>
    <font>
      <b/>
      <strike/>
      <sz val="12"/>
      <color rgb="FFCC6600"/>
      <name val="Calibri"/>
      <family val="2"/>
      <charset val="186"/>
      <scheme val="minor"/>
    </font>
    <font>
      <sz val="11"/>
      <color rgb="FFFF0000"/>
      <name val="Calibri"/>
      <family val="2"/>
      <charset val="204"/>
      <scheme val="minor"/>
    </font>
    <font>
      <b/>
      <sz val="11"/>
      <color theme="1"/>
      <name val="Calibri"/>
      <family val="2"/>
      <charset val="204"/>
      <scheme val="minor"/>
    </font>
    <font>
      <i/>
      <sz val="11"/>
      <color theme="1"/>
      <name val="Calibri"/>
      <family val="2"/>
      <charset val="204"/>
      <scheme val="minor"/>
    </font>
    <font>
      <sz val="11"/>
      <name val="Calibri"/>
      <family val="2"/>
      <charset val="204"/>
      <scheme val="minor"/>
    </font>
    <font>
      <sz val="9"/>
      <color indexed="81"/>
      <name val="Tahoma"/>
      <family val="2"/>
      <charset val="204"/>
    </font>
    <font>
      <b/>
      <sz val="9"/>
      <color indexed="81"/>
      <name val="Segoe UI"/>
      <family val="2"/>
    </font>
    <font>
      <sz val="9"/>
      <color indexed="81"/>
      <name val="Segoe UI"/>
      <family val="2"/>
    </font>
    <font>
      <b/>
      <i/>
      <sz val="11"/>
      <color theme="1"/>
      <name val="Calibri"/>
      <family val="2"/>
      <charset val="204"/>
      <scheme val="minor"/>
    </font>
    <font>
      <sz val="9"/>
      <color rgb="FFFF0000"/>
      <name val="Calibri"/>
      <family val="2"/>
      <charset val="204"/>
      <scheme val="minor"/>
    </font>
    <font>
      <sz val="9"/>
      <color theme="1"/>
      <name val="Calibri"/>
      <family val="2"/>
      <charset val="204"/>
      <scheme val="minor"/>
    </font>
    <font>
      <sz val="9"/>
      <name val="Calibri"/>
      <family val="2"/>
      <charset val="204"/>
      <scheme val="minor"/>
    </font>
    <font>
      <sz val="11"/>
      <color theme="1"/>
      <name val="Times New Roman"/>
      <family val="1"/>
      <charset val="204"/>
    </font>
    <font>
      <sz val="9"/>
      <color theme="1"/>
      <name val="Times New Roman"/>
      <family val="1"/>
      <charset val="204"/>
    </font>
    <font>
      <sz val="10"/>
      <name val="Arial"/>
      <family val="2"/>
      <charset val="204"/>
    </font>
    <font>
      <sz val="10"/>
      <name val="Times New Roman"/>
      <family val="1"/>
      <charset val="204"/>
    </font>
    <font>
      <sz val="10"/>
      <color theme="1"/>
      <name val="Times New Roman"/>
      <family val="1"/>
      <charset val="204"/>
    </font>
    <font>
      <sz val="12"/>
      <name val="Times New Roman"/>
      <family val="1"/>
      <charset val="204"/>
    </font>
    <font>
      <sz val="12"/>
      <color theme="0"/>
      <name val="Times New Roman"/>
      <family val="1"/>
      <charset val="204"/>
    </font>
    <font>
      <sz val="11"/>
      <name val="Times New Roman"/>
      <family val="1"/>
      <charset val="204"/>
    </font>
    <font>
      <sz val="9"/>
      <name val="Times New Roman"/>
      <family val="1"/>
      <charset val="204"/>
    </font>
    <font>
      <u/>
      <sz val="11"/>
      <name val="Times New Roman"/>
      <family val="1"/>
      <charset val="204"/>
    </font>
    <font>
      <b/>
      <sz val="11"/>
      <name val="Times New Roman"/>
      <family val="1"/>
      <charset val="204"/>
    </font>
    <font>
      <b/>
      <sz val="11"/>
      <color theme="1"/>
      <name val="Times New Roman"/>
      <family val="1"/>
      <charset val="204"/>
    </font>
    <font>
      <b/>
      <i/>
      <sz val="11"/>
      <color theme="1"/>
      <name val="Times New Roman"/>
      <family val="1"/>
      <charset val="204"/>
    </font>
    <font>
      <b/>
      <sz val="14"/>
      <color theme="1"/>
      <name val="Times New Roman"/>
      <family val="1"/>
      <charset val="204"/>
    </font>
    <font>
      <b/>
      <sz val="11"/>
      <color rgb="FF002060"/>
      <name val="Times New Roman"/>
      <family val="1"/>
      <charset val="204"/>
    </font>
    <font>
      <i/>
      <sz val="12"/>
      <color theme="1"/>
      <name val="Times New Roman"/>
      <family val="1"/>
      <charset val="204"/>
    </font>
    <font>
      <sz val="12"/>
      <color theme="1"/>
      <name val="Times New Roman"/>
      <family val="1"/>
      <charset val="204"/>
    </font>
    <font>
      <b/>
      <sz val="12"/>
      <color theme="1"/>
      <name val="Times New Roman"/>
      <family val="1"/>
      <charset val="204"/>
    </font>
    <font>
      <u/>
      <sz val="11"/>
      <color theme="1"/>
      <name val="Times New Roman"/>
      <family val="1"/>
      <charset val="204"/>
    </font>
    <font>
      <i/>
      <sz val="11"/>
      <color theme="1"/>
      <name val="Times New Roman"/>
      <family val="1"/>
      <charset val="204"/>
    </font>
    <font>
      <i/>
      <sz val="11"/>
      <color theme="1"/>
      <name val="Times New Roman"/>
      <family val="1"/>
    </font>
    <font>
      <b/>
      <sz val="9"/>
      <color indexed="81"/>
      <name val="Segoe UI"/>
      <family val="2"/>
      <charset val="204"/>
    </font>
    <font>
      <sz val="9"/>
      <color indexed="81"/>
      <name val="Segoe UI"/>
      <family val="2"/>
      <charset val="204"/>
    </font>
    <font>
      <b/>
      <sz val="8"/>
      <color indexed="81"/>
      <name val="Segoe UI"/>
      <family val="2"/>
    </font>
    <font>
      <sz val="8"/>
      <color indexed="81"/>
      <name val="Segoe UI"/>
      <family val="2"/>
    </font>
    <font>
      <b/>
      <sz val="9"/>
      <color indexed="81"/>
      <name val="Tahoma"/>
      <family val="2"/>
      <charset val="204"/>
    </font>
    <font>
      <sz val="11"/>
      <name val="Calibri"/>
      <family val="2"/>
      <scheme val="minor"/>
    </font>
    <font>
      <i/>
      <sz val="11"/>
      <name val="Calibri"/>
      <family val="2"/>
      <scheme val="minor"/>
    </font>
    <font>
      <b/>
      <sz val="11"/>
      <name val="Calibri"/>
      <family val="2"/>
      <scheme val="minor"/>
    </font>
    <font>
      <sz val="11"/>
      <color theme="0"/>
      <name val="Times New Roman"/>
      <family val="1"/>
      <charset val="204"/>
    </font>
    <font>
      <b/>
      <i/>
      <sz val="11"/>
      <name val="Calibri"/>
      <family val="2"/>
      <scheme val="minor"/>
    </font>
    <font>
      <sz val="10"/>
      <name val="Calibri"/>
      <family val="2"/>
      <scheme val="minor"/>
    </font>
    <font>
      <i/>
      <sz val="9"/>
      <name val="Calibri"/>
      <family val="2"/>
      <scheme val="minor"/>
    </font>
    <font>
      <sz val="9"/>
      <name val="Calibri"/>
      <family val="2"/>
      <scheme val="minor"/>
    </font>
    <font>
      <sz val="8"/>
      <name val="Calibri"/>
      <family val="2"/>
      <scheme val="minor"/>
    </font>
    <font>
      <b/>
      <u/>
      <sz val="11"/>
      <name val="Times New Roman"/>
      <family val="1"/>
      <charset val="204"/>
    </font>
    <font>
      <b/>
      <sz val="11"/>
      <name val="Calibri"/>
      <family val="2"/>
      <charset val="204"/>
      <scheme val="minor"/>
    </font>
    <font>
      <i/>
      <sz val="9"/>
      <color theme="1"/>
      <name val="Times New Roman"/>
      <family val="1"/>
      <charset val="204"/>
    </font>
    <font>
      <sz val="11"/>
      <color theme="1"/>
      <name val="Calibri"/>
      <family val="2"/>
      <scheme val="minor"/>
    </font>
    <font>
      <sz val="11"/>
      <color rgb="FFFF0000"/>
      <name val="Calibri"/>
      <family val="2"/>
      <scheme val="minor"/>
    </font>
    <font>
      <sz val="12"/>
      <color theme="1"/>
      <name val="Calibri"/>
      <family val="2"/>
      <charset val="204"/>
      <scheme val="minor"/>
    </font>
    <font>
      <sz val="11"/>
      <color rgb="FFFF0000"/>
      <name val="Calibri"/>
      <family val="2"/>
      <charset val="186"/>
      <scheme val="minor"/>
    </font>
    <font>
      <b/>
      <sz val="11"/>
      <color rgb="FFCC6600"/>
      <name val="Calibri"/>
      <family val="2"/>
      <scheme val="minor"/>
    </font>
  </fonts>
  <fills count="3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FC3"/>
        <bgColor indexed="64"/>
      </patternFill>
    </fill>
    <fill>
      <patternFill patternType="solid">
        <fgColor rgb="FFB2DE82"/>
        <bgColor indexed="64"/>
      </patternFill>
    </fill>
    <fill>
      <patternFill patternType="solid">
        <fgColor rgb="FFA6C0F4"/>
        <bgColor indexed="64"/>
      </patternFill>
    </fill>
    <fill>
      <patternFill patternType="solid">
        <fgColor rgb="FFE1EAFB"/>
        <bgColor indexed="64"/>
      </patternFill>
    </fill>
    <fill>
      <patternFill patternType="solid">
        <fgColor rgb="FFFFFF99"/>
        <bgColor indexed="64"/>
      </patternFill>
    </fill>
    <fill>
      <patternFill patternType="solid">
        <fgColor rgb="FFFFFF66"/>
        <bgColor indexed="64"/>
      </patternFill>
    </fill>
    <fill>
      <patternFill patternType="solid">
        <fgColor theme="7" tint="0.79998168889431442"/>
        <bgColor indexed="64"/>
      </patternFill>
    </fill>
    <fill>
      <patternFill patternType="solid">
        <fgColor rgb="FFFFE79B"/>
        <bgColor indexed="64"/>
      </patternFill>
    </fill>
    <fill>
      <patternFill patternType="solid">
        <fgColor rgb="FFE4FFAF"/>
        <bgColor indexed="64"/>
      </patternFill>
    </fill>
    <fill>
      <patternFill patternType="solid">
        <fgColor rgb="FFECFFC5"/>
        <bgColor indexed="64"/>
      </patternFill>
    </fill>
    <fill>
      <patternFill patternType="solid">
        <fgColor rgb="FFD8FF89"/>
        <bgColor indexed="64"/>
      </patternFill>
    </fill>
    <fill>
      <patternFill patternType="solid">
        <fgColor rgb="FFFFE7E7"/>
        <bgColor indexed="64"/>
      </patternFill>
    </fill>
    <fill>
      <patternFill patternType="solid">
        <fgColor rgb="FFDDDDDD"/>
        <bgColor indexed="64"/>
      </patternFill>
    </fill>
    <fill>
      <patternFill patternType="solid">
        <fgColor rgb="FFE4F1FC"/>
        <bgColor indexed="64"/>
      </patternFill>
    </fill>
    <fill>
      <patternFill patternType="solid">
        <fgColor rgb="FFB9D8F5"/>
        <bgColor indexed="64"/>
      </patternFill>
    </fill>
    <fill>
      <patternFill patternType="solid">
        <fgColor rgb="FFECDFF5"/>
        <bgColor indexed="64"/>
      </patternFill>
    </fill>
    <fill>
      <patternFill patternType="solid">
        <fgColor rgb="FFD1EBFF"/>
        <bgColor indexed="64"/>
      </patternFill>
    </fill>
    <fill>
      <patternFill patternType="solid">
        <fgColor rgb="FFF3EBF9"/>
        <bgColor indexed="64"/>
      </patternFill>
    </fill>
    <fill>
      <patternFill patternType="solid">
        <fgColor rgb="FFB3EBFF"/>
        <bgColor indexed="64"/>
      </patternFill>
    </fill>
    <fill>
      <patternFill patternType="solid">
        <fgColor rgb="FFEDE2F6"/>
        <bgColor indexed="64"/>
      </patternFill>
    </fill>
    <fill>
      <patternFill patternType="solid">
        <fgColor rgb="FFFFFF0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theme="0"/>
      </right>
      <top style="thin">
        <color indexed="64"/>
      </top>
      <bottom style="medium">
        <color indexed="64"/>
      </bottom>
      <diagonal/>
    </border>
    <border>
      <left style="thin">
        <color theme="0"/>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s>
  <cellStyleXfs count="22">
    <xf numFmtId="0" fontId="0" fillId="0" borderId="0"/>
    <xf numFmtId="9" fontId="42" fillId="0" borderId="0" applyFont="0" applyFill="0" applyBorder="0" applyAlignment="0" applyProtection="0"/>
    <xf numFmtId="0" fontId="58" fillId="0" borderId="0" applyNumberFormat="0" applyFill="0" applyBorder="0" applyAlignment="0" applyProtection="0"/>
    <xf numFmtId="0" fontId="9" fillId="0" borderId="0"/>
    <xf numFmtId="9" fontId="9" fillId="0" borderId="0" applyFont="0" applyFill="0" applyBorder="0" applyAlignment="0" applyProtection="0"/>
    <xf numFmtId="0" fontId="9" fillId="0" borderId="0"/>
    <xf numFmtId="0" fontId="88" fillId="0" borderId="0"/>
    <xf numFmtId="9" fontId="88" fillId="0" borderId="0" applyFont="0" applyFill="0" applyBorder="0" applyAlignment="0" applyProtection="0"/>
    <xf numFmtId="0" fontId="8" fillId="0" borderId="0"/>
    <xf numFmtId="9" fontId="8" fillId="0" borderId="0" applyFont="0" applyFill="0" applyBorder="0" applyAlignment="0" applyProtection="0"/>
    <xf numFmtId="0" fontId="7" fillId="0" borderId="0"/>
    <xf numFmtId="0" fontId="6" fillId="0" borderId="0"/>
    <xf numFmtId="0" fontId="4"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2" fillId="0" borderId="0"/>
  </cellStyleXfs>
  <cellXfs count="887">
    <xf numFmtId="0" fontId="0" fillId="0" borderId="0" xfId="0"/>
    <xf numFmtId="0" fontId="0" fillId="0" borderId="0" xfId="0" applyAlignment="1">
      <alignment horizontal="center" vertical="center"/>
    </xf>
    <xf numFmtId="0" fontId="10" fillId="0" borderId="0" xfId="0" applyFont="1" applyAlignment="1">
      <alignment horizontal="center" vertical="center"/>
    </xf>
    <xf numFmtId="0" fontId="13" fillId="0" borderId="0" xfId="0" applyFont="1" applyAlignment="1">
      <alignment horizontal="center" vertical="center"/>
    </xf>
    <xf numFmtId="0" fontId="0" fillId="2" borderId="2" xfId="0" applyFill="1" applyBorder="1" applyAlignment="1">
      <alignment horizontal="center" vertical="center"/>
    </xf>
    <xf numFmtId="0" fontId="13" fillId="0" borderId="0" xfId="0" applyFont="1" applyAlignment="1">
      <alignment horizontal="left" vertical="center" indent="1"/>
    </xf>
    <xf numFmtId="167" fontId="13" fillId="0" borderId="0" xfId="0" applyNumberFormat="1" applyFont="1" applyAlignment="1">
      <alignment horizontal="center" vertical="center"/>
    </xf>
    <xf numFmtId="0" fontId="0" fillId="0" borderId="0" xfId="0" applyAlignment="1">
      <alignment horizontal="center" vertical="center" shrinkToFit="1"/>
    </xf>
    <xf numFmtId="0" fontId="13" fillId="0" borderId="0" xfId="0" applyFont="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167" fontId="0" fillId="0" borderId="1" xfId="0" applyNumberFormat="1" applyBorder="1" applyAlignment="1">
      <alignment horizontal="center" vertical="center" shrinkToFit="1"/>
    </xf>
    <xf numFmtId="0" fontId="0" fillId="2" borderId="0" xfId="0" applyFill="1" applyAlignment="1">
      <alignment horizontal="center" vertical="center" shrinkToFit="1"/>
    </xf>
    <xf numFmtId="167" fontId="13" fillId="0" borderId="0" xfId="0" applyNumberFormat="1" applyFont="1" applyAlignment="1">
      <alignment horizontal="center" vertical="center" shrinkToFit="1"/>
    </xf>
    <xf numFmtId="167" fontId="13" fillId="0" borderId="1" xfId="0" applyNumberFormat="1" applyFont="1" applyBorder="1" applyAlignment="1">
      <alignment horizontal="center" vertical="center" shrinkToFit="1"/>
    </xf>
    <xf numFmtId="0" fontId="0" fillId="2" borderId="6" xfId="0" applyFill="1" applyBorder="1" applyAlignment="1">
      <alignment horizontal="center" vertical="center"/>
    </xf>
    <xf numFmtId="167" fontId="0" fillId="0" borderId="0" xfId="0" applyNumberFormat="1" applyAlignment="1">
      <alignment horizontal="center" vertical="center" shrinkToFit="1"/>
    </xf>
    <xf numFmtId="167" fontId="0" fillId="0" borderId="0" xfId="0" applyNumberFormat="1" applyAlignment="1">
      <alignment horizontal="center" vertical="center"/>
    </xf>
    <xf numFmtId="167" fontId="0" fillId="2" borderId="3" xfId="0" applyNumberFormat="1" applyFill="1" applyBorder="1" applyAlignment="1">
      <alignment horizontal="center" vertical="center" shrinkToFit="1"/>
    </xf>
    <xf numFmtId="167" fontId="0" fillId="2" borderId="4" xfId="0" applyNumberFormat="1" applyFill="1" applyBorder="1" applyAlignment="1">
      <alignment horizontal="center" vertical="center" shrinkToFit="1"/>
    </xf>
    <xf numFmtId="167" fontId="10" fillId="0" borderId="0" xfId="0" applyNumberFormat="1" applyFont="1" applyAlignment="1">
      <alignment horizontal="center" vertical="center" shrinkToFit="1"/>
    </xf>
    <xf numFmtId="167" fontId="10" fillId="0" borderId="0" xfId="0" applyNumberFormat="1" applyFont="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indent="2"/>
    </xf>
    <xf numFmtId="0" fontId="0" fillId="0" borderId="0" xfId="0" applyAlignment="1">
      <alignment horizontal="left" vertical="center" indent="1" shrinkToFit="1"/>
    </xf>
    <xf numFmtId="0" fontId="0" fillId="2" borderId="3" xfId="0" applyFill="1" applyBorder="1" applyAlignment="1">
      <alignment horizontal="left" vertical="center" indent="1" shrinkToFit="1"/>
    </xf>
    <xf numFmtId="0" fontId="0" fillId="2" borderId="0" xfId="0" applyFill="1" applyAlignment="1">
      <alignment horizontal="left" vertical="center" indent="1" shrinkToFit="1"/>
    </xf>
    <xf numFmtId="0" fontId="0" fillId="0" borderId="3" xfId="0" applyBorder="1" applyAlignment="1">
      <alignment horizontal="left" vertical="center" indent="1" shrinkToFit="1"/>
    </xf>
    <xf numFmtId="0" fontId="15" fillId="0" borderId="3"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2" xfId="0" applyFont="1" applyBorder="1" applyAlignment="1">
      <alignment horizontal="left" vertical="center" indent="1"/>
    </xf>
    <xf numFmtId="0" fontId="15" fillId="2" borderId="3"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23" fillId="0" borderId="0" xfId="0" applyFont="1" applyAlignment="1">
      <alignment horizontal="left" vertical="center" indent="2"/>
    </xf>
    <xf numFmtId="0" fontId="23" fillId="0" borderId="0" xfId="0" applyFont="1" applyAlignment="1">
      <alignment horizontal="center" vertical="center"/>
    </xf>
    <xf numFmtId="0" fontId="28" fillId="0" borderId="0" xfId="0" applyFont="1" applyAlignment="1">
      <alignment horizontal="left" vertical="center" indent="1"/>
    </xf>
    <xf numFmtId="0" fontId="29" fillId="0" borderId="0" xfId="0" applyFont="1" applyAlignment="1">
      <alignment horizontal="left" vertical="center" indent="1"/>
    </xf>
    <xf numFmtId="0" fontId="30" fillId="0" borderId="0" xfId="0" applyFont="1" applyAlignment="1">
      <alignment horizontal="left" vertical="center" indent="1" shrinkToFit="1"/>
    </xf>
    <xf numFmtId="0" fontId="30" fillId="0" borderId="0" xfId="0" applyFont="1" applyAlignment="1">
      <alignment horizontal="center" vertical="center" shrinkToFit="1"/>
    </xf>
    <xf numFmtId="0" fontId="31" fillId="0" borderId="0" xfId="0" applyFont="1" applyAlignment="1">
      <alignment horizontal="center" vertical="center" shrinkToFit="1"/>
    </xf>
    <xf numFmtId="0" fontId="30" fillId="0" borderId="0" xfId="0" applyFont="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left" vertical="center" indent="1" shrinkToFit="1"/>
    </xf>
    <xf numFmtId="0" fontId="32" fillId="0" borderId="1" xfId="0" applyFont="1" applyBorder="1" applyAlignment="1">
      <alignment horizontal="center" vertical="center" shrinkToFit="1"/>
    </xf>
    <xf numFmtId="0" fontId="29" fillId="0" borderId="1" xfId="0" applyFont="1" applyBorder="1" applyAlignment="1">
      <alignment horizontal="center" vertical="center" shrinkToFit="1"/>
    </xf>
    <xf numFmtId="0" fontId="30" fillId="2" borderId="6" xfId="0" applyFont="1" applyFill="1" applyBorder="1" applyAlignment="1">
      <alignment horizontal="center" vertical="center"/>
    </xf>
    <xf numFmtId="0" fontId="0" fillId="7" borderId="1" xfId="0" applyFill="1" applyBorder="1" applyAlignment="1">
      <alignment horizontal="center" vertical="center" shrinkToFit="1"/>
    </xf>
    <xf numFmtId="0" fontId="10" fillId="7" borderId="1" xfId="0" applyFont="1" applyFill="1" applyBorder="1" applyAlignment="1">
      <alignment horizontal="center" vertical="center" shrinkToFit="1"/>
    </xf>
    <xf numFmtId="0" fontId="0" fillId="8" borderId="1" xfId="0" applyFill="1" applyBorder="1" applyAlignment="1">
      <alignment horizontal="left" vertical="center" indent="1" shrinkToFit="1"/>
    </xf>
    <xf numFmtId="0" fontId="0" fillId="8" borderId="1" xfId="0" applyFill="1" applyBorder="1" applyAlignment="1">
      <alignment horizontal="center" vertical="center" shrinkToFit="1"/>
    </xf>
    <xf numFmtId="0" fontId="10" fillId="8" borderId="1" xfId="0" applyFont="1" applyFill="1" applyBorder="1" applyAlignment="1">
      <alignment horizontal="left" vertical="center" indent="1" shrinkToFit="1"/>
    </xf>
    <xf numFmtId="0" fontId="10" fillId="8" borderId="1" xfId="0" applyFont="1" applyFill="1" applyBorder="1" applyAlignment="1">
      <alignment horizontal="center" vertical="center" shrinkToFit="1"/>
    </xf>
    <xf numFmtId="167" fontId="10" fillId="8" borderId="1" xfId="0" applyNumberFormat="1" applyFont="1" applyFill="1" applyBorder="1" applyAlignment="1">
      <alignment horizontal="center" vertical="center" shrinkToFit="1"/>
    </xf>
    <xf numFmtId="168" fontId="0" fillId="8" borderId="1" xfId="0" applyNumberFormat="1" applyFill="1" applyBorder="1" applyAlignment="1">
      <alignment horizontal="center" vertical="center" shrinkToFit="1"/>
    </xf>
    <xf numFmtId="167" fontId="0" fillId="8" borderId="1" xfId="0" applyNumberFormat="1" applyFill="1" applyBorder="1" applyAlignment="1">
      <alignment horizontal="center" vertical="center" shrinkToFit="1"/>
    </xf>
    <xf numFmtId="0" fontId="14" fillId="7" borderId="1" xfId="0" applyFont="1" applyFill="1" applyBorder="1" applyAlignment="1">
      <alignment horizontal="center" vertical="center" shrinkToFit="1"/>
    </xf>
    <xf numFmtId="167" fontId="13" fillId="7" borderId="1" xfId="0" applyNumberFormat="1" applyFont="1" applyFill="1" applyBorder="1" applyAlignment="1">
      <alignment horizontal="center" vertical="center" shrinkToFit="1"/>
    </xf>
    <xf numFmtId="167" fontId="10" fillId="7" borderId="1" xfId="0" applyNumberFormat="1" applyFont="1" applyFill="1" applyBorder="1" applyAlignment="1">
      <alignment horizontal="center" vertical="center" shrinkToFit="1"/>
    </xf>
    <xf numFmtId="0" fontId="34" fillId="0" borderId="0" xfId="0" applyFont="1" applyAlignment="1">
      <alignment horizontal="center" vertical="center"/>
    </xf>
    <xf numFmtId="0" fontId="34" fillId="0" borderId="0" xfId="0" applyFont="1" applyAlignment="1">
      <alignment horizontal="left" vertical="center" indent="1" shrinkToFit="1"/>
    </xf>
    <xf numFmtId="0" fontId="34" fillId="0" borderId="0" xfId="0" applyFont="1" applyAlignment="1">
      <alignment horizontal="center" vertical="center" shrinkToFit="1"/>
    </xf>
    <xf numFmtId="0" fontId="34" fillId="0" borderId="2" xfId="0" applyFont="1" applyBorder="1" applyAlignment="1">
      <alignment horizontal="center" vertical="top"/>
    </xf>
    <xf numFmtId="0" fontId="34" fillId="0" borderId="3" xfId="0" applyFont="1" applyBorder="1" applyAlignment="1">
      <alignment horizontal="left" vertical="top" shrinkToFit="1"/>
    </xf>
    <xf numFmtId="0" fontId="34" fillId="0" borderId="3" xfId="0" applyFont="1" applyBorder="1" applyAlignment="1">
      <alignment horizontal="center" vertical="top" shrinkToFit="1"/>
    </xf>
    <xf numFmtId="167" fontId="34" fillId="0" borderId="3" xfId="0" applyNumberFormat="1" applyFont="1" applyBorder="1" applyAlignment="1">
      <alignment horizontal="center" vertical="top" shrinkToFit="1"/>
    </xf>
    <xf numFmtId="167" fontId="34" fillId="0" borderId="0" xfId="0" applyNumberFormat="1" applyFont="1" applyAlignment="1">
      <alignment horizontal="center" vertical="top" shrinkToFit="1"/>
    </xf>
    <xf numFmtId="167" fontId="34" fillId="0" borderId="0" xfId="0" applyNumberFormat="1" applyFont="1" applyAlignment="1">
      <alignment horizontal="center" vertical="top"/>
    </xf>
    <xf numFmtId="0" fontId="34" fillId="0" borderId="0" xfId="0" applyFont="1" applyAlignment="1">
      <alignment horizontal="center" vertical="top"/>
    </xf>
    <xf numFmtId="0" fontId="0" fillId="0" borderId="0" xfId="0" applyAlignment="1">
      <alignment vertical="center"/>
    </xf>
    <xf numFmtId="0" fontId="0" fillId="0" borderId="0" xfId="0" applyAlignment="1">
      <alignment horizontal="left" vertical="center" indent="1"/>
    </xf>
    <xf numFmtId="0" fontId="0" fillId="0" borderId="1" xfId="0" applyBorder="1" applyAlignment="1">
      <alignment horizontal="center" vertical="center"/>
    </xf>
    <xf numFmtId="0" fontId="0" fillId="2" borderId="2" xfId="0" applyFill="1" applyBorder="1" applyAlignment="1">
      <alignment horizontal="left" vertical="center" indent="2"/>
    </xf>
    <xf numFmtId="0" fontId="0" fillId="2" borderId="3" xfId="0" applyFill="1" applyBorder="1" applyAlignment="1">
      <alignment horizontal="center" vertical="center"/>
    </xf>
    <xf numFmtId="0" fontId="37" fillId="0" borderId="1" xfId="0" applyFont="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167" fontId="10" fillId="2" borderId="4" xfId="0" applyNumberFormat="1" applyFont="1" applyFill="1" applyBorder="1" applyAlignment="1">
      <alignment horizontal="center" vertical="center" shrinkToFit="1"/>
    </xf>
    <xf numFmtId="0" fontId="14" fillId="10" borderId="1"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36" fillId="0" borderId="2" xfId="0" applyFont="1" applyBorder="1" applyAlignment="1">
      <alignment horizontal="center" vertical="center"/>
    </xf>
    <xf numFmtId="0" fontId="38" fillId="0" borderId="1" xfId="0" applyFont="1" applyBorder="1" applyAlignment="1">
      <alignment horizontal="center" vertical="center"/>
    </xf>
    <xf numFmtId="0" fontId="36" fillId="2" borderId="2" xfId="0" applyFont="1" applyFill="1" applyBorder="1" applyAlignment="1">
      <alignment horizontal="center" vertical="center"/>
    </xf>
    <xf numFmtId="0" fontId="37" fillId="2" borderId="3" xfId="0" applyFont="1" applyFill="1" applyBorder="1" applyAlignment="1">
      <alignment horizontal="center" vertical="center"/>
    </xf>
    <xf numFmtId="0" fontId="38" fillId="2" borderId="3" xfId="0" applyFont="1" applyFill="1" applyBorder="1" applyAlignment="1">
      <alignment horizontal="center" vertical="center"/>
    </xf>
    <xf numFmtId="0" fontId="38" fillId="2" borderId="4" xfId="0" applyFont="1" applyFill="1" applyBorder="1" applyAlignment="1">
      <alignment horizontal="center" vertical="center"/>
    </xf>
    <xf numFmtId="0" fontId="36" fillId="0" borderId="4" xfId="0" applyFont="1" applyBorder="1" applyAlignment="1">
      <alignment horizontal="left" vertical="center" indent="1"/>
    </xf>
    <xf numFmtId="0" fontId="36" fillId="2" borderId="3" xfId="0" applyFont="1" applyFill="1" applyBorder="1" applyAlignment="1">
      <alignment horizontal="left" vertical="center" indent="1"/>
    </xf>
    <xf numFmtId="0" fontId="0" fillId="2" borderId="3" xfId="0" applyFill="1" applyBorder="1" applyAlignment="1">
      <alignment horizontal="left" vertical="center" indent="1"/>
    </xf>
    <xf numFmtId="0" fontId="0" fillId="2" borderId="2" xfId="0" applyFill="1" applyBorder="1" applyAlignment="1">
      <alignment horizontal="center" vertical="center" wrapText="1"/>
    </xf>
    <xf numFmtId="166" fontId="0" fillId="0" borderId="1" xfId="0" applyNumberFormat="1" applyBorder="1" applyAlignment="1">
      <alignment horizontal="center" vertical="center" shrinkToFit="1"/>
    </xf>
    <xf numFmtId="166" fontId="10" fillId="10" borderId="1" xfId="0" applyNumberFormat="1" applyFont="1" applyFill="1" applyBorder="1" applyAlignment="1">
      <alignment horizontal="center" vertical="center" shrinkToFit="1"/>
    </xf>
    <xf numFmtId="166" fontId="0" fillId="2" borderId="3" xfId="0" applyNumberFormat="1" applyFill="1" applyBorder="1" applyAlignment="1">
      <alignment horizontal="center" vertical="center" shrinkToFit="1"/>
    </xf>
    <xf numFmtId="166" fontId="10" fillId="2" borderId="4" xfId="0" applyNumberFormat="1" applyFont="1" applyFill="1" applyBorder="1" applyAlignment="1">
      <alignment horizontal="center" vertical="center" shrinkToFit="1"/>
    </xf>
    <xf numFmtId="166" fontId="13" fillId="2" borderId="4" xfId="0" applyNumberFormat="1" applyFont="1" applyFill="1" applyBorder="1" applyAlignment="1">
      <alignment horizontal="center" vertical="center" shrinkToFit="1"/>
    </xf>
    <xf numFmtId="166" fontId="13" fillId="10" borderId="1" xfId="0" applyNumberFormat="1" applyFont="1" applyFill="1" applyBorder="1" applyAlignment="1">
      <alignment horizontal="center" vertical="center" shrinkToFit="1"/>
    </xf>
    <xf numFmtId="0" fontId="35" fillId="0" borderId="0" xfId="0" applyFont="1" applyAlignment="1">
      <alignment horizontal="left" vertical="center" indent="1"/>
    </xf>
    <xf numFmtId="0" fontId="41" fillId="0" borderId="1" xfId="0" applyFont="1" applyBorder="1" applyAlignment="1">
      <alignment horizontal="center" vertical="center" wrapText="1"/>
    </xf>
    <xf numFmtId="168" fontId="37" fillId="0" borderId="0" xfId="0" applyNumberFormat="1" applyFont="1" applyAlignment="1">
      <alignment horizontal="center" vertical="center"/>
    </xf>
    <xf numFmtId="0" fontId="43"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indent="1"/>
    </xf>
    <xf numFmtId="169" fontId="0" fillId="0" borderId="0" xfId="0" applyNumberFormat="1" applyAlignment="1">
      <alignment horizontal="center" vertical="center"/>
    </xf>
    <xf numFmtId="0" fontId="0" fillId="0" borderId="0" xfId="0" applyAlignment="1">
      <alignment horizontal="left" vertical="center" wrapText="1" indent="1"/>
    </xf>
    <xf numFmtId="169" fontId="0" fillId="0" borderId="1" xfId="0" applyNumberFormat="1" applyBorder="1" applyAlignment="1">
      <alignment horizontal="center" vertical="center"/>
    </xf>
    <xf numFmtId="9" fontId="0" fillId="0" borderId="1" xfId="1" applyFont="1" applyBorder="1" applyAlignment="1">
      <alignment horizontal="center" vertical="center"/>
    </xf>
    <xf numFmtId="169" fontId="0" fillId="2" borderId="1" xfId="0" applyNumberFormat="1" applyFill="1" applyBorder="1" applyAlignment="1">
      <alignment horizontal="center" vertical="center"/>
    </xf>
    <xf numFmtId="168" fontId="0" fillId="0" borderId="1" xfId="1" applyNumberFormat="1" applyFont="1" applyBorder="1" applyAlignment="1">
      <alignment horizontal="center" vertical="center"/>
    </xf>
    <xf numFmtId="0" fontId="44" fillId="0" borderId="0" xfId="0" applyFont="1" applyAlignment="1">
      <alignment horizontal="left" vertical="center"/>
    </xf>
    <xf numFmtId="9" fontId="45" fillId="0" borderId="1" xfId="0" applyNumberFormat="1" applyFont="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left" vertical="center" inden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indent="1"/>
    </xf>
    <xf numFmtId="0" fontId="46" fillId="0" borderId="1" xfId="0" applyFont="1" applyBorder="1" applyAlignment="1">
      <alignment horizontal="left" vertical="center" indent="1"/>
    </xf>
    <xf numFmtId="0" fontId="10" fillId="11" borderId="1" xfId="0" applyFont="1" applyFill="1" applyBorder="1" applyAlignment="1">
      <alignment horizontal="left" vertical="center" wrapText="1" indent="1"/>
    </xf>
    <xf numFmtId="167" fontId="0" fillId="9" borderId="1" xfId="0" applyNumberFormat="1" applyFill="1" applyBorder="1" applyAlignment="1">
      <alignment horizontal="center" vertical="center"/>
    </xf>
    <xf numFmtId="167" fontId="10" fillId="9" borderId="1" xfId="0" applyNumberFormat="1" applyFont="1" applyFill="1" applyBorder="1" applyAlignment="1">
      <alignment horizontal="center" vertical="center"/>
    </xf>
    <xf numFmtId="0" fontId="0" fillId="9" borderId="1" xfId="0" applyFill="1" applyBorder="1" applyAlignment="1">
      <alignment horizontal="left" vertical="center" wrapText="1" indent="1"/>
    </xf>
    <xf numFmtId="0" fontId="0" fillId="0" borderId="0" xfId="0" applyAlignment="1">
      <alignment horizontal="left" vertical="center" wrapText="1" indent="2"/>
    </xf>
    <xf numFmtId="167" fontId="0" fillId="5" borderId="1" xfId="0" applyNumberFormat="1" applyFill="1" applyBorder="1" applyAlignment="1">
      <alignment horizontal="left" vertical="center" wrapText="1" indent="1"/>
    </xf>
    <xf numFmtId="0" fontId="0" fillId="8" borderId="1" xfId="0" applyFill="1" applyBorder="1" applyAlignment="1">
      <alignment horizontal="left" vertical="center" wrapText="1" indent="1"/>
    </xf>
    <xf numFmtId="0" fontId="0" fillId="3" borderId="1" xfId="0" applyFill="1" applyBorder="1" applyAlignment="1">
      <alignment horizontal="left" vertical="center" wrapText="1" indent="1"/>
    </xf>
    <xf numFmtId="0" fontId="43" fillId="0" borderId="0" xfId="0" applyFont="1" applyAlignment="1">
      <alignment horizontal="left" vertical="center" indent="1"/>
    </xf>
    <xf numFmtId="0" fontId="48" fillId="0" borderId="1" xfId="0" applyFont="1" applyBorder="1" applyAlignment="1">
      <alignment horizontal="left" vertical="center" indent="1"/>
    </xf>
    <xf numFmtId="0" fontId="48" fillId="0" borderId="1" xfId="0" applyFont="1" applyBorder="1" applyAlignment="1">
      <alignment horizontal="center" vertical="center"/>
    </xf>
    <xf numFmtId="170" fontId="34" fillId="0" borderId="0" xfId="0" applyNumberFormat="1" applyFont="1" applyAlignment="1">
      <alignment horizontal="center" vertical="center"/>
    </xf>
    <xf numFmtId="171" fontId="0" fillId="0" borderId="1" xfId="0" applyNumberFormat="1" applyBorder="1" applyAlignment="1">
      <alignment horizontal="center" vertical="center"/>
    </xf>
    <xf numFmtId="0" fontId="38" fillId="0" borderId="0" xfId="0" applyFont="1" applyAlignment="1">
      <alignment horizontal="left" vertical="center" indent="1"/>
    </xf>
    <xf numFmtId="0" fontId="37" fillId="0" borderId="1" xfId="0" applyFont="1" applyBorder="1" applyAlignment="1">
      <alignment horizontal="center" vertical="center" wrapText="1"/>
    </xf>
    <xf numFmtId="0" fontId="0" fillId="12" borderId="1"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50" fillId="0" borderId="1" xfId="0" applyFont="1" applyBorder="1" applyAlignment="1">
      <alignment horizontal="left" vertical="center" wrapText="1" indent="1"/>
    </xf>
    <xf numFmtId="168" fontId="51" fillId="0" borderId="0" xfId="1" applyNumberFormat="1" applyFont="1" applyAlignment="1">
      <alignment horizontal="center" vertical="center"/>
    </xf>
    <xf numFmtId="168" fontId="51" fillId="0" borderId="0" xfId="0" applyNumberFormat="1" applyFont="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170" fontId="0" fillId="0" borderId="1" xfId="0" applyNumberFormat="1" applyBorder="1" applyAlignment="1">
      <alignment horizontal="center" vertical="center"/>
    </xf>
    <xf numFmtId="0" fontId="17" fillId="0" borderId="0" xfId="0" applyFont="1" applyAlignment="1" applyProtection="1">
      <alignment horizontal="left" vertical="center" indent="1"/>
      <protection locked="0"/>
    </xf>
    <xf numFmtId="0" fontId="0" fillId="0" borderId="0" xfId="0" applyAlignment="1" applyProtection="1">
      <alignment horizontal="left" vertical="center" indent="2"/>
      <protection locked="0"/>
    </xf>
    <xf numFmtId="0" fontId="0" fillId="0" borderId="0" xfId="0" applyAlignment="1" applyProtection="1">
      <alignment horizontal="center" vertical="center"/>
      <protection locked="0"/>
    </xf>
    <xf numFmtId="0" fontId="16" fillId="0" borderId="0" xfId="0" applyFont="1" applyAlignment="1" applyProtection="1">
      <alignment horizontal="left" vertical="center" indent="1"/>
      <protection locked="0"/>
    </xf>
    <xf numFmtId="0" fontId="19" fillId="0" borderId="0" xfId="0" applyFont="1" applyAlignment="1" applyProtection="1">
      <alignment horizontal="left" vertical="center" indent="1" shrinkToFit="1"/>
      <protection locked="0"/>
    </xf>
    <xf numFmtId="0" fontId="19" fillId="0" borderId="0" xfId="0" applyFont="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19" fillId="0" borderId="0" xfId="0" applyFont="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4" xfId="0" applyFont="1" applyBorder="1" applyAlignment="1" applyProtection="1">
      <alignment horizontal="left" vertical="center" indent="1" shrinkToFit="1"/>
      <protection locked="0"/>
    </xf>
    <xf numFmtId="0" fontId="21" fillId="0" borderId="1"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left" vertical="center" indent="1" shrinkToFit="1"/>
      <protection locked="0"/>
    </xf>
    <xf numFmtId="0" fontId="15" fillId="2" borderId="3"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3" fillId="0" borderId="2" xfId="0" applyFont="1" applyBorder="1" applyAlignment="1" applyProtection="1">
      <alignment horizontal="left" vertical="center" indent="1"/>
      <protection locked="0"/>
    </xf>
    <xf numFmtId="0" fontId="0" fillId="0" borderId="3" xfId="0" applyBorder="1" applyAlignment="1" applyProtection="1">
      <alignment horizontal="left" vertical="center" indent="1" shrinkToFit="1"/>
      <protection locked="0"/>
    </xf>
    <xf numFmtId="0" fontId="15" fillId="0" borderId="3"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3" borderId="1" xfId="0" applyFill="1" applyBorder="1" applyAlignment="1" applyProtection="1">
      <alignment horizontal="left" vertical="center" indent="1" shrinkToFit="1"/>
      <protection locked="0"/>
    </xf>
    <xf numFmtId="0" fontId="0" fillId="3" borderId="1" xfId="0" applyFill="1" applyBorder="1" applyAlignment="1" applyProtection="1">
      <alignment horizontal="center" vertical="center" shrinkToFit="1"/>
      <protection locked="0"/>
    </xf>
    <xf numFmtId="167" fontId="0" fillId="0" borderId="1" xfId="0" applyNumberFormat="1" applyBorder="1" applyAlignment="1" applyProtection="1">
      <alignment horizontal="center" vertical="center" shrinkToFit="1"/>
      <protection locked="0"/>
    </xf>
    <xf numFmtId="167" fontId="10" fillId="3" borderId="1" xfId="0" applyNumberFormat="1"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left" vertical="center" indent="1" shrinkToFit="1"/>
      <protection locked="0"/>
    </xf>
    <xf numFmtId="0" fontId="10" fillId="3" borderId="1" xfId="0" applyFont="1" applyFill="1" applyBorder="1" applyAlignment="1" applyProtection="1">
      <alignment horizontal="center" vertical="center" shrinkToFit="1"/>
      <protection locked="0"/>
    </xf>
    <xf numFmtId="0" fontId="19" fillId="2" borderId="6" xfId="0" applyFont="1" applyFill="1" applyBorder="1" applyAlignment="1" applyProtection="1">
      <alignment horizontal="center" vertical="center"/>
      <protection locked="0"/>
    </xf>
    <xf numFmtId="0" fontId="0" fillId="2" borderId="0" xfId="0" applyFill="1" applyAlignment="1" applyProtection="1">
      <alignment horizontal="left" vertical="center" indent="1" shrinkToFit="1"/>
      <protection locked="0"/>
    </xf>
    <xf numFmtId="0" fontId="0" fillId="2" borderId="0" xfId="0" applyFill="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protection locked="0"/>
    </xf>
    <xf numFmtId="0" fontId="0" fillId="4" borderId="1" xfId="0" applyFill="1" applyBorder="1" applyAlignment="1" applyProtection="1">
      <alignment horizontal="center" vertical="center" shrinkToFit="1"/>
      <protection locked="0"/>
    </xf>
    <xf numFmtId="167" fontId="13" fillId="4" borderId="1" xfId="0" applyNumberFormat="1" applyFont="1" applyFill="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indent="1" shrinkToFit="1"/>
      <protection locked="0"/>
    </xf>
    <xf numFmtId="0" fontId="13" fillId="0" borderId="0" xfId="0" applyFont="1" applyAlignment="1" applyProtection="1">
      <alignment horizontal="left" vertical="center" indent="1"/>
      <protection locked="0"/>
    </xf>
    <xf numFmtId="167" fontId="0" fillId="0" borderId="0" xfId="0" applyNumberFormat="1" applyAlignment="1" applyProtection="1">
      <alignment horizontal="center" vertical="center" shrinkToFit="1"/>
      <protection locked="0"/>
    </xf>
    <xf numFmtId="167" fontId="0" fillId="0" borderId="0" xfId="0" applyNumberFormat="1" applyAlignment="1" applyProtection="1">
      <alignment horizontal="center" vertical="center"/>
      <protection locked="0"/>
    </xf>
    <xf numFmtId="167" fontId="0" fillId="3" borderId="1" xfId="0" applyNumberFormat="1" applyFill="1" applyBorder="1" applyAlignment="1" applyProtection="1">
      <alignment horizontal="center" vertical="center" shrinkToFit="1"/>
      <protection locked="0"/>
    </xf>
    <xf numFmtId="168" fontId="0" fillId="3" borderId="1" xfId="0" applyNumberFormat="1" applyFill="1" applyBorder="1" applyAlignment="1" applyProtection="1">
      <alignment horizontal="center" vertical="center" shrinkToFit="1"/>
      <protection locked="0"/>
    </xf>
    <xf numFmtId="0" fontId="10" fillId="4" borderId="1" xfId="0" applyFont="1" applyFill="1" applyBorder="1" applyAlignment="1" applyProtection="1">
      <alignment horizontal="center" vertical="center" shrinkToFit="1"/>
      <protection locked="0"/>
    </xf>
    <xf numFmtId="167" fontId="10" fillId="4" borderId="1" xfId="0" applyNumberFormat="1" applyFont="1" applyFill="1" applyBorder="1" applyAlignment="1" applyProtection="1">
      <alignment horizontal="center" vertical="center" shrinkToFit="1"/>
      <protection locked="0"/>
    </xf>
    <xf numFmtId="167" fontId="0" fillId="2" borderId="3" xfId="0" applyNumberFormat="1" applyFill="1" applyBorder="1" applyAlignment="1" applyProtection="1">
      <alignment horizontal="center" vertical="center" shrinkToFit="1"/>
      <protection locked="0"/>
    </xf>
    <xf numFmtId="167" fontId="0" fillId="2" borderId="4" xfId="0" applyNumberFormat="1" applyFill="1" applyBorder="1" applyAlignment="1" applyProtection="1">
      <alignment horizontal="center" vertical="center" shrinkToFit="1"/>
      <protection locked="0"/>
    </xf>
    <xf numFmtId="167" fontId="10" fillId="0" borderId="0" xfId="0" applyNumberFormat="1" applyFont="1" applyAlignment="1" applyProtection="1">
      <alignment horizontal="center" vertical="center" shrinkToFit="1"/>
      <protection locked="0"/>
    </xf>
    <xf numFmtId="167"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4" fillId="4" borderId="1" xfId="0" applyFont="1" applyFill="1" applyBorder="1" applyAlignment="1" applyProtection="1">
      <alignment horizontal="center" vertical="center" shrinkToFit="1"/>
      <protection locked="0"/>
    </xf>
    <xf numFmtId="167" fontId="13" fillId="0" borderId="0" xfId="0" applyNumberFormat="1" applyFont="1" applyAlignment="1" applyProtection="1">
      <alignment horizontal="center" vertical="center" shrinkToFit="1"/>
      <protection locked="0"/>
    </xf>
    <xf numFmtId="167" fontId="13" fillId="0" borderId="0" xfId="0" applyNumberFormat="1" applyFont="1" applyAlignment="1" applyProtection="1">
      <alignment horizontal="center" vertical="center"/>
      <protection locked="0"/>
    </xf>
    <xf numFmtId="0" fontId="0" fillId="0" borderId="2" xfId="0" applyBorder="1" applyAlignment="1" applyProtection="1">
      <alignment horizontal="center" vertical="center"/>
      <protection locked="0"/>
    </xf>
    <xf numFmtId="167" fontId="0" fillId="0" borderId="3" xfId="0" applyNumberFormat="1" applyBorder="1" applyAlignment="1" applyProtection="1">
      <alignment horizontal="center" vertical="center" shrinkToFit="1"/>
      <protection locked="0"/>
    </xf>
    <xf numFmtId="167" fontId="0" fillId="0" borderId="4"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67" fontId="13" fillId="0" borderId="1" xfId="0" applyNumberFormat="1" applyFont="1" applyBorder="1" applyAlignment="1" applyProtection="1">
      <alignment horizontal="center" vertical="center" shrinkToFit="1"/>
      <protection locked="0"/>
    </xf>
    <xf numFmtId="0" fontId="22" fillId="0" borderId="0" xfId="0" applyFont="1" applyAlignment="1" applyProtection="1">
      <alignment horizontal="left" vertical="center" indent="1"/>
      <protection locked="0"/>
    </xf>
    <xf numFmtId="0" fontId="23" fillId="0" borderId="0" xfId="0" applyFont="1" applyAlignment="1" applyProtection="1">
      <alignment horizontal="left" vertical="center" indent="2"/>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left" vertical="center" indent="1"/>
      <protection locked="0"/>
    </xf>
    <xf numFmtId="0" fontId="23" fillId="0" borderId="0" xfId="0" applyFont="1" applyAlignment="1" applyProtection="1">
      <alignment horizontal="left" vertical="center" indent="1" shrinkToFit="1"/>
      <protection locked="0"/>
    </xf>
    <xf numFmtId="0" fontId="23" fillId="0" borderId="0" xfId="0" applyFont="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3" fillId="0" borderId="2" xfId="0" applyFont="1" applyBorder="1" applyAlignment="1" applyProtection="1">
      <alignment horizontal="center" vertical="center"/>
      <protection locked="0"/>
    </xf>
    <xf numFmtId="0" fontId="23" fillId="0" borderId="4" xfId="0" applyFont="1" applyBorder="1" applyAlignment="1" applyProtection="1">
      <alignment horizontal="left" vertical="center" indent="1" shrinkToFit="1"/>
      <protection locked="0"/>
    </xf>
    <xf numFmtId="0" fontId="26" fillId="0" borderId="1" xfId="0" applyFont="1" applyBorder="1" applyAlignment="1" applyProtection="1">
      <alignment horizontal="center" vertical="center" shrinkToFit="1"/>
      <protection locked="0"/>
    </xf>
    <xf numFmtId="0" fontId="24" fillId="0" borderId="1" xfId="0" applyFont="1" applyBorder="1" applyAlignment="1" applyProtection="1">
      <alignment horizontal="center" vertical="center" shrinkToFit="1"/>
      <protection locked="0"/>
    </xf>
    <xf numFmtId="0" fontId="0" fillId="5" borderId="1" xfId="0" applyFill="1" applyBorder="1" applyAlignment="1" applyProtection="1">
      <alignment horizontal="left" vertical="center" indent="1" shrinkToFit="1"/>
      <protection locked="0"/>
    </xf>
    <xf numFmtId="0" fontId="0" fillId="5" borderId="1" xfId="0" applyFill="1" applyBorder="1" applyAlignment="1" applyProtection="1">
      <alignment horizontal="center" vertical="center" shrinkToFit="1"/>
      <protection locked="0"/>
    </xf>
    <xf numFmtId="167" fontId="10" fillId="5" borderId="1" xfId="0" applyNumberFormat="1" applyFont="1" applyFill="1" applyBorder="1" applyAlignment="1" applyProtection="1">
      <alignment horizontal="center" vertical="center" shrinkToFit="1"/>
      <protection locked="0"/>
    </xf>
    <xf numFmtId="0" fontId="10" fillId="5" borderId="1" xfId="0" applyFont="1" applyFill="1" applyBorder="1" applyAlignment="1" applyProtection="1">
      <alignment horizontal="left" vertical="center" indent="1" shrinkToFit="1"/>
      <protection locked="0"/>
    </xf>
    <xf numFmtId="0" fontId="10" fillId="5" borderId="1" xfId="0" applyFont="1" applyFill="1" applyBorder="1" applyAlignment="1" applyProtection="1">
      <alignment horizontal="center" vertical="center" shrinkToFit="1"/>
      <protection locked="0"/>
    </xf>
    <xf numFmtId="0" fontId="23" fillId="2" borderId="6"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shrinkToFit="1"/>
      <protection locked="0"/>
    </xf>
    <xf numFmtId="167" fontId="13" fillId="6" borderId="1" xfId="0" applyNumberFormat="1" applyFont="1" applyFill="1" applyBorder="1" applyAlignment="1" applyProtection="1">
      <alignment horizontal="center" vertical="center" shrinkToFit="1"/>
      <protection locked="0"/>
    </xf>
    <xf numFmtId="167" fontId="0" fillId="5" borderId="1" xfId="0" applyNumberFormat="1" applyFill="1" applyBorder="1" applyAlignment="1" applyProtection="1">
      <alignment horizontal="center" vertical="center" shrinkToFit="1"/>
      <protection locked="0"/>
    </xf>
    <xf numFmtId="168" fontId="0" fillId="5" borderId="1" xfId="0" applyNumberFormat="1" applyFill="1" applyBorder="1" applyAlignment="1" applyProtection="1">
      <alignment horizontal="center" vertical="center" shrinkToFit="1"/>
      <protection locked="0"/>
    </xf>
    <xf numFmtId="0" fontId="10" fillId="6" borderId="1" xfId="0" applyFont="1" applyFill="1" applyBorder="1" applyAlignment="1" applyProtection="1">
      <alignment horizontal="center" vertical="center" shrinkToFit="1"/>
      <protection locked="0"/>
    </xf>
    <xf numFmtId="167" fontId="10" fillId="6" borderId="1" xfId="0" applyNumberFormat="1" applyFont="1" applyFill="1" applyBorder="1" applyAlignment="1" applyProtection="1">
      <alignment horizontal="center" vertical="center" shrinkToFit="1"/>
      <protection locked="0"/>
    </xf>
    <xf numFmtId="0" fontId="14" fillId="6" borderId="1" xfId="0" applyFont="1" applyFill="1" applyBorder="1" applyAlignment="1" applyProtection="1">
      <alignment horizontal="center" vertical="center" shrinkToFit="1"/>
      <protection locked="0"/>
    </xf>
    <xf numFmtId="0" fontId="52" fillId="0" borderId="0" xfId="0" applyFont="1" applyAlignment="1">
      <alignment horizontal="left" vertical="center" indent="1"/>
    </xf>
    <xf numFmtId="0" fontId="53" fillId="0" borderId="0" xfId="0" applyFont="1" applyAlignment="1">
      <alignment horizontal="left" vertical="center" indent="1"/>
    </xf>
    <xf numFmtId="0" fontId="54" fillId="0" borderId="1" xfId="0" applyFont="1" applyBorder="1" applyAlignment="1">
      <alignment horizontal="left" vertical="center" indent="1"/>
    </xf>
    <xf numFmtId="0" fontId="55" fillId="0" borderId="1" xfId="0" applyFont="1" applyBorder="1" applyAlignment="1">
      <alignment horizontal="left" vertical="center" indent="1"/>
    </xf>
    <xf numFmtId="0" fontId="54" fillId="0" borderId="1" xfId="0" applyFont="1" applyBorder="1" applyAlignment="1">
      <alignment horizontal="center" vertical="center"/>
    </xf>
    <xf numFmtId="0" fontId="54" fillId="0" borderId="0" xfId="0" applyFont="1" applyAlignment="1">
      <alignment horizontal="center" vertical="center"/>
    </xf>
    <xf numFmtId="0" fontId="54" fillId="0" borderId="0" xfId="0" applyFont="1" applyAlignment="1">
      <alignment vertical="center"/>
    </xf>
    <xf numFmtId="0" fontId="0" fillId="2" borderId="2" xfId="0" applyFill="1" applyBorder="1" applyAlignment="1">
      <alignment horizontal="left" vertical="center" indent="1"/>
    </xf>
    <xf numFmtId="0" fontId="53" fillId="2" borderId="3" xfId="0" applyFont="1" applyFill="1" applyBorder="1" applyAlignment="1">
      <alignment horizontal="left" vertical="center" indent="1"/>
    </xf>
    <xf numFmtId="0" fontId="10" fillId="2" borderId="2" xfId="0" applyFont="1" applyFill="1" applyBorder="1" applyAlignment="1">
      <alignment horizontal="left" vertical="center" indent="1"/>
    </xf>
    <xf numFmtId="0" fontId="0" fillId="13" borderId="1" xfId="0" applyFill="1" applyBorder="1" applyAlignment="1">
      <alignment horizontal="right" vertical="center" indent="1"/>
    </xf>
    <xf numFmtId="0" fontId="53" fillId="13" borderId="1" xfId="0" applyFont="1" applyFill="1" applyBorder="1" applyAlignment="1">
      <alignment horizontal="center" vertical="center"/>
    </xf>
    <xf numFmtId="167" fontId="0" fillId="0" borderId="1" xfId="0" applyNumberFormat="1" applyBorder="1" applyAlignment="1">
      <alignment horizontal="right" vertical="center" shrinkToFit="1"/>
    </xf>
    <xf numFmtId="0" fontId="0" fillId="0" borderId="0" xfId="0" applyAlignment="1">
      <alignment horizontal="right" vertical="center"/>
    </xf>
    <xf numFmtId="167" fontId="0" fillId="14" borderId="1" xfId="0" applyNumberFormat="1" applyFill="1" applyBorder="1" applyAlignment="1">
      <alignment horizontal="center" vertical="center" shrinkToFit="1"/>
    </xf>
    <xf numFmtId="0" fontId="53" fillId="2" borderId="3" xfId="0" applyFont="1" applyFill="1" applyBorder="1" applyAlignment="1">
      <alignment horizontal="center" vertical="center"/>
    </xf>
    <xf numFmtId="0" fontId="13" fillId="15" borderId="1" xfId="0" applyFont="1" applyFill="1" applyBorder="1" applyAlignment="1">
      <alignment horizontal="left" vertical="center" indent="1"/>
    </xf>
    <xf numFmtId="0" fontId="53" fillId="15" borderId="1" xfId="0" applyFont="1" applyFill="1" applyBorder="1" applyAlignment="1">
      <alignment horizontal="center" vertical="center"/>
    </xf>
    <xf numFmtId="167" fontId="13" fillId="15" borderId="1" xfId="0" applyNumberFormat="1" applyFont="1" applyFill="1" applyBorder="1" applyAlignment="1">
      <alignment horizontal="center" vertical="center" shrinkToFit="1"/>
    </xf>
    <xf numFmtId="0" fontId="13" fillId="0" borderId="0" xfId="0" applyFont="1" applyAlignment="1">
      <alignment vertical="center"/>
    </xf>
    <xf numFmtId="0" fontId="13" fillId="2" borderId="2" xfId="0" applyFont="1" applyFill="1" applyBorder="1" applyAlignment="1">
      <alignment horizontal="left" vertical="center" indent="1"/>
    </xf>
    <xf numFmtId="167" fontId="13" fillId="2" borderId="3" xfId="0" applyNumberFormat="1" applyFont="1" applyFill="1" applyBorder="1" applyAlignment="1">
      <alignment horizontal="center" vertical="center" shrinkToFit="1"/>
    </xf>
    <xf numFmtId="167" fontId="13" fillId="2" borderId="4" xfId="0" applyNumberFormat="1" applyFont="1" applyFill="1" applyBorder="1" applyAlignment="1">
      <alignment horizontal="center" vertical="center" shrinkToFit="1"/>
    </xf>
    <xf numFmtId="0" fontId="0" fillId="0" borderId="3" xfId="0" applyBorder="1" applyAlignment="1">
      <alignment horizontal="left" vertical="center" indent="1"/>
    </xf>
    <xf numFmtId="0" fontId="53" fillId="0" borderId="3" xfId="0" applyFont="1" applyBorder="1" applyAlignment="1">
      <alignment horizontal="center" vertical="center"/>
    </xf>
    <xf numFmtId="167" fontId="0" fillId="0" borderId="3" xfId="0" applyNumberFormat="1" applyBorder="1" applyAlignment="1">
      <alignment horizontal="center" vertical="center" shrinkToFit="1"/>
    </xf>
    <xf numFmtId="0" fontId="53" fillId="0" borderId="1" xfId="0" applyFont="1" applyBorder="1" applyAlignment="1">
      <alignment horizontal="center" vertical="center"/>
    </xf>
    <xf numFmtId="167" fontId="0" fillId="2" borderId="1" xfId="0" applyNumberFormat="1" applyFill="1" applyBorder="1" applyAlignment="1">
      <alignment horizontal="center" vertical="center" shrinkToFit="1"/>
    </xf>
    <xf numFmtId="0" fontId="0" fillId="2" borderId="1" xfId="0" applyFill="1" applyBorder="1" applyAlignment="1">
      <alignment horizontal="left" vertical="center" indent="1"/>
    </xf>
    <xf numFmtId="0" fontId="53" fillId="2" borderId="1" xfId="0" applyFont="1" applyFill="1" applyBorder="1" applyAlignment="1">
      <alignment horizontal="center" vertical="center"/>
    </xf>
    <xf numFmtId="0" fontId="13" fillId="0" borderId="3" xfId="0" applyFont="1" applyBorder="1" applyAlignment="1">
      <alignment horizontal="left" vertical="center" indent="1"/>
    </xf>
    <xf numFmtId="167" fontId="13" fillId="0" borderId="3" xfId="0" applyNumberFormat="1" applyFont="1" applyBorder="1" applyAlignment="1">
      <alignment horizontal="center" vertical="center" shrinkToFit="1"/>
    </xf>
    <xf numFmtId="0" fontId="53" fillId="15" borderId="1" xfId="0" applyFont="1" applyFill="1" applyBorder="1" applyAlignment="1">
      <alignment horizontal="left" vertical="center" wrapText="1" indent="1"/>
    </xf>
    <xf numFmtId="167" fontId="53" fillId="15" borderId="1" xfId="0" applyNumberFormat="1" applyFont="1" applyFill="1" applyBorder="1" applyAlignment="1">
      <alignment horizontal="center" vertical="center" shrinkToFit="1"/>
    </xf>
    <xf numFmtId="0" fontId="53" fillId="0" borderId="0" xfId="0" applyFont="1" applyAlignment="1">
      <alignment horizontal="center" vertical="center"/>
    </xf>
    <xf numFmtId="0" fontId="53" fillId="0" borderId="0" xfId="0" applyFont="1" applyAlignment="1">
      <alignment vertical="center"/>
    </xf>
    <xf numFmtId="0" fontId="56" fillId="0" borderId="0" xfId="0" applyFont="1" applyAlignment="1">
      <alignment horizontal="left" vertical="center" indent="1"/>
    </xf>
    <xf numFmtId="167" fontId="56" fillId="0" borderId="0" xfId="0" applyNumberFormat="1" applyFont="1" applyAlignment="1">
      <alignment horizontal="center" vertical="center" shrinkToFit="1"/>
    </xf>
    <xf numFmtId="0" fontId="56" fillId="0" borderId="0" xfId="0" applyFont="1" applyAlignment="1">
      <alignment horizontal="center" vertical="center"/>
    </xf>
    <xf numFmtId="0" fontId="56" fillId="0" borderId="0" xfId="0" applyFont="1" applyAlignment="1">
      <alignment vertical="center"/>
    </xf>
    <xf numFmtId="0" fontId="0" fillId="13" borderId="1" xfId="0" applyFill="1" applyBorder="1" applyAlignment="1">
      <alignment horizontal="left" vertical="center" wrapText="1" indent="1"/>
    </xf>
    <xf numFmtId="0" fontId="0" fillId="3" borderId="4" xfId="0" applyFill="1" applyBorder="1" applyAlignment="1">
      <alignment horizontal="left" vertical="center" wrapText="1" indent="1"/>
    </xf>
    <xf numFmtId="0" fontId="47" fillId="3" borderId="4" xfId="0" applyFont="1" applyFill="1" applyBorder="1" applyAlignment="1">
      <alignment horizontal="left" vertical="center" wrapText="1" indent="1"/>
    </xf>
    <xf numFmtId="0" fontId="0" fillId="0" borderId="4" xfId="0" applyBorder="1" applyAlignment="1">
      <alignment horizontal="left" vertical="center" wrapText="1" indent="1"/>
    </xf>
    <xf numFmtId="167" fontId="0" fillId="0" borderId="1" xfId="0" applyNumberFormat="1" applyBorder="1" applyAlignment="1">
      <alignment horizontal="left" vertical="center" wrapText="1" indent="1"/>
    </xf>
    <xf numFmtId="167" fontId="13" fillId="0" borderId="4" xfId="0" applyNumberFormat="1" applyFont="1" applyBorder="1" applyAlignment="1">
      <alignment horizontal="center" vertical="center" shrinkToFit="1"/>
    </xf>
    <xf numFmtId="0" fontId="57" fillId="0" borderId="0" xfId="0" applyFont="1" applyAlignment="1">
      <alignment vertical="center"/>
    </xf>
    <xf numFmtId="0" fontId="38" fillId="0" borderId="7" xfId="0" applyFont="1" applyBorder="1" applyAlignment="1">
      <alignment horizontal="center" vertical="center"/>
    </xf>
    <xf numFmtId="0" fontId="17" fillId="0" borderId="0" xfId="0" applyFont="1" applyAlignment="1">
      <alignment horizontal="left" vertical="center" indent="1"/>
    </xf>
    <xf numFmtId="0" fontId="0" fillId="0" borderId="0" xfId="0" applyAlignment="1">
      <alignment horizontal="center" vertical="center" wrapText="1"/>
    </xf>
    <xf numFmtId="0" fontId="19" fillId="0" borderId="1" xfId="0" applyFont="1" applyBorder="1" applyAlignment="1">
      <alignment horizontal="left" vertical="center" wrapText="1" indent="1"/>
    </xf>
    <xf numFmtId="0" fontId="19" fillId="0" borderId="0" xfId="0" applyFont="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horizontal="center" vertical="center" wrapText="1"/>
    </xf>
    <xf numFmtId="0" fontId="0" fillId="0" borderId="6" xfId="0" applyBorder="1" applyAlignment="1">
      <alignment vertical="center"/>
    </xf>
    <xf numFmtId="0" fontId="0" fillId="16" borderId="1" xfId="0" applyFill="1" applyBorder="1" applyAlignment="1">
      <alignment horizontal="center" vertical="center" wrapText="1"/>
    </xf>
    <xf numFmtId="0" fontId="0" fillId="0" borderId="14" xfId="0" applyBorder="1" applyAlignment="1">
      <alignment horizontal="left" vertical="center" indent="1"/>
    </xf>
    <xf numFmtId="0" fontId="19" fillId="0" borderId="0" xfId="0" applyFont="1" applyAlignment="1">
      <alignment horizontal="left" vertical="center" indent="1"/>
    </xf>
    <xf numFmtId="0" fontId="19" fillId="0" borderId="12" xfId="0" applyFont="1" applyBorder="1" applyAlignment="1">
      <alignment horizontal="left" vertical="center" wrapText="1" indent="1"/>
    </xf>
    <xf numFmtId="0" fontId="13" fillId="17" borderId="1" xfId="0" applyFont="1" applyFill="1" applyBorder="1" applyAlignment="1">
      <alignment horizontal="left" vertical="center" wrapText="1" indent="1"/>
    </xf>
    <xf numFmtId="0" fontId="13" fillId="17" borderId="1" xfId="0" applyFont="1" applyFill="1" applyBorder="1" applyAlignment="1">
      <alignment horizontal="center" vertical="center"/>
    </xf>
    <xf numFmtId="168" fontId="0" fillId="0" borderId="1" xfId="0" applyNumberFormat="1" applyBorder="1" applyAlignment="1">
      <alignment horizontal="center" vertical="center"/>
    </xf>
    <xf numFmtId="168" fontId="13" fillId="17" borderId="1" xfId="0" applyNumberFormat="1" applyFont="1" applyFill="1" applyBorder="1" applyAlignment="1">
      <alignment horizontal="center" vertical="center"/>
    </xf>
    <xf numFmtId="0" fontId="59" fillId="0" borderId="0" xfId="0" applyFont="1" applyAlignment="1" applyProtection="1">
      <alignment horizontal="left" vertical="center" indent="1"/>
      <protection locked="0"/>
    </xf>
    <xf numFmtId="0" fontId="60" fillId="0" borderId="0" xfId="0" applyFont="1" applyAlignment="1">
      <alignment horizontal="left" vertical="center" indent="1"/>
    </xf>
    <xf numFmtId="0" fontId="53" fillId="0" borderId="0" xfId="0" applyFont="1" applyAlignment="1">
      <alignment horizontal="left" vertical="center"/>
    </xf>
    <xf numFmtId="0" fontId="61" fillId="0" borderId="1" xfId="0" applyFont="1" applyBorder="1" applyAlignment="1">
      <alignment horizontal="center" vertical="center"/>
    </xf>
    <xf numFmtId="0" fontId="61" fillId="0" borderId="0" xfId="0" applyFont="1" applyAlignment="1">
      <alignment horizontal="center" vertical="center"/>
    </xf>
    <xf numFmtId="0" fontId="62" fillId="2" borderId="3" xfId="0" applyFont="1" applyFill="1" applyBorder="1" applyAlignment="1">
      <alignment horizontal="center" vertical="center"/>
    </xf>
    <xf numFmtId="0" fontId="62" fillId="2" borderId="4" xfId="0" applyFont="1" applyFill="1" applyBorder="1" applyAlignment="1">
      <alignment horizontal="center" vertical="center"/>
    </xf>
    <xf numFmtId="0" fontId="62" fillId="0" borderId="0" xfId="0" applyFont="1" applyAlignment="1">
      <alignment horizontal="center" vertical="center"/>
    </xf>
    <xf numFmtId="0" fontId="61" fillId="0" borderId="1" xfId="0" applyFont="1" applyBorder="1" applyAlignment="1">
      <alignment horizontal="left" vertical="center" indent="1"/>
    </xf>
    <xf numFmtId="0" fontId="63" fillId="0" borderId="1" xfId="0" applyFont="1" applyBorder="1" applyAlignment="1">
      <alignment horizontal="left" vertical="center" indent="1"/>
    </xf>
    <xf numFmtId="0" fontId="0" fillId="18" borderId="1" xfId="0" applyFill="1" applyBorder="1" applyAlignment="1">
      <alignment horizontal="right" vertical="center" wrapText="1" indent="1"/>
    </xf>
    <xf numFmtId="0" fontId="53" fillId="18" borderId="1" xfId="0" applyFont="1" applyFill="1" applyBorder="1" applyAlignment="1">
      <alignment horizontal="center" vertical="center"/>
    </xf>
    <xf numFmtId="167" fontId="0" fillId="18" borderId="1" xfId="0" applyNumberFormat="1" applyFill="1" applyBorder="1" applyAlignment="1">
      <alignment horizontal="center" vertical="center" shrinkToFit="1"/>
    </xf>
    <xf numFmtId="0" fontId="0" fillId="18" borderId="1" xfId="0" applyFill="1" applyBorder="1" applyAlignment="1">
      <alignment horizontal="right" vertical="center" indent="1"/>
    </xf>
    <xf numFmtId="167" fontId="0" fillId="2" borderId="1" xfId="0" applyNumberFormat="1" applyFill="1" applyBorder="1" applyAlignment="1">
      <alignment horizontal="right" vertical="center" shrinkToFit="1"/>
    </xf>
    <xf numFmtId="0" fontId="13" fillId="19" borderId="1" xfId="0" applyFont="1" applyFill="1" applyBorder="1" applyAlignment="1">
      <alignment horizontal="left" vertical="center" indent="1"/>
    </xf>
    <xf numFmtId="0" fontId="53" fillId="19" borderId="1" xfId="0" applyFont="1" applyFill="1" applyBorder="1" applyAlignment="1">
      <alignment horizontal="center" vertical="center"/>
    </xf>
    <xf numFmtId="167" fontId="13" fillId="19" borderId="1" xfId="0" applyNumberFormat="1" applyFont="1" applyFill="1" applyBorder="1" applyAlignment="1">
      <alignment horizontal="center" vertical="center" shrinkToFit="1"/>
    </xf>
    <xf numFmtId="0" fontId="0" fillId="19" borderId="1" xfId="0" applyFill="1" applyBorder="1" applyAlignment="1">
      <alignment horizontal="left" vertical="center" wrapText="1" indent="1"/>
    </xf>
    <xf numFmtId="0" fontId="0" fillId="19" borderId="1" xfId="0" applyFill="1" applyBorder="1" applyAlignment="1">
      <alignment horizontal="center" vertical="center"/>
    </xf>
    <xf numFmtId="167" fontId="0" fillId="19" borderId="1" xfId="0" applyNumberFormat="1" applyFill="1" applyBorder="1" applyAlignment="1">
      <alignment horizontal="center" vertical="center" shrinkToFit="1"/>
    </xf>
    <xf numFmtId="9" fontId="0" fillId="0" borderId="1" xfId="0" applyNumberFormat="1" applyBorder="1" applyAlignment="1">
      <alignment horizontal="center" vertical="center"/>
    </xf>
    <xf numFmtId="0" fontId="29" fillId="0" borderId="0" xfId="0" applyFont="1" applyAlignment="1">
      <alignment horizontal="center" vertical="center"/>
    </xf>
    <xf numFmtId="0" fontId="45" fillId="0" borderId="1" xfId="0" applyFont="1" applyBorder="1" applyAlignment="1">
      <alignment horizontal="center" vertical="center"/>
    </xf>
    <xf numFmtId="0" fontId="0" fillId="20" borderId="1" xfId="0" applyFill="1" applyBorder="1" applyAlignment="1">
      <alignment horizontal="left" vertical="center" wrapText="1" indent="1"/>
    </xf>
    <xf numFmtId="0" fontId="0" fillId="21" borderId="1" xfId="0" applyFill="1" applyBorder="1" applyAlignment="1">
      <alignment horizontal="left" vertical="center" wrapText="1" indent="1"/>
    </xf>
    <xf numFmtId="0" fontId="0" fillId="2" borderId="1" xfId="0" applyFill="1" applyBorder="1" applyAlignment="1">
      <alignment horizontal="center" vertical="center" wrapText="1"/>
    </xf>
    <xf numFmtId="0" fontId="64" fillId="0" borderId="0" xfId="0" applyFont="1" applyAlignment="1">
      <alignment horizontal="left" vertical="center" wrapText="1" indent="1"/>
    </xf>
    <xf numFmtId="0" fontId="65" fillId="0" borderId="0" xfId="0" applyFont="1" applyAlignment="1">
      <alignment horizontal="left" vertical="center" wrapText="1" indent="1"/>
    </xf>
    <xf numFmtId="0" fontId="0" fillId="22" borderId="1" xfId="0" applyFill="1" applyBorder="1" applyAlignment="1">
      <alignment horizontal="left" vertical="center" wrapText="1" indent="1"/>
    </xf>
    <xf numFmtId="0" fontId="44" fillId="0" borderId="0" xfId="0" applyFont="1" applyAlignment="1">
      <alignment horizontal="left" vertical="center" indent="1"/>
    </xf>
    <xf numFmtId="0" fontId="66" fillId="0" borderId="0" xfId="0" applyFont="1" applyAlignment="1">
      <alignment vertical="center"/>
    </xf>
    <xf numFmtId="0" fontId="0" fillId="0" borderId="0" xfId="0" applyAlignment="1">
      <alignment horizontal="right" vertical="center" indent="1"/>
    </xf>
    <xf numFmtId="0" fontId="68" fillId="0" borderId="0" xfId="0" applyFont="1" applyAlignment="1">
      <alignment horizontal="center" vertical="center"/>
    </xf>
    <xf numFmtId="0" fontId="0" fillId="10" borderId="10" xfId="0" applyFill="1" applyBorder="1" applyAlignment="1">
      <alignment horizontal="center" vertical="center"/>
    </xf>
    <xf numFmtId="3" fontId="53" fillId="23" borderId="10" xfId="0" applyNumberFormat="1" applyFont="1" applyFill="1" applyBorder="1" applyAlignment="1">
      <alignment horizontal="center" vertical="center"/>
    </xf>
    <xf numFmtId="0" fontId="69" fillId="0" borderId="1" xfId="0" applyFont="1" applyBorder="1" applyAlignment="1">
      <alignment horizontal="left" vertical="center" indent="1"/>
    </xf>
    <xf numFmtId="0" fontId="66" fillId="0" borderId="1" xfId="0" applyFont="1" applyBorder="1" applyAlignment="1">
      <alignment horizontal="center" vertical="center"/>
    </xf>
    <xf numFmtId="0" fontId="69" fillId="10" borderId="1" xfId="0" applyFont="1" applyFill="1" applyBorder="1" applyAlignment="1">
      <alignment horizontal="center" vertical="center"/>
    </xf>
    <xf numFmtId="0" fontId="69" fillId="23" borderId="1" xfId="0" applyFont="1" applyFill="1" applyBorder="1" applyAlignment="1">
      <alignment horizontal="center" vertical="center"/>
    </xf>
    <xf numFmtId="0" fontId="69" fillId="0" borderId="0" xfId="0" applyFont="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24" borderId="1" xfId="0" applyFill="1" applyBorder="1" applyAlignment="1">
      <alignment horizontal="left" vertical="center" wrapText="1" indent="1"/>
    </xf>
    <xf numFmtId="0" fontId="53" fillId="24" borderId="1" xfId="0" applyFont="1" applyFill="1" applyBorder="1" applyAlignment="1">
      <alignment horizontal="center" vertical="center"/>
    </xf>
    <xf numFmtId="0" fontId="0" fillId="24" borderId="1" xfId="0" applyFill="1" applyBorder="1" applyAlignment="1">
      <alignment horizontal="left" vertical="center" indent="1"/>
    </xf>
    <xf numFmtId="0" fontId="0" fillId="24" borderId="1" xfId="0" applyFill="1" applyBorder="1" applyAlignment="1">
      <alignment horizontal="right" vertical="center" wrapText="1" indent="1"/>
    </xf>
    <xf numFmtId="167" fontId="0" fillId="22" borderId="1" xfId="0" applyNumberFormat="1" applyFill="1" applyBorder="1" applyAlignment="1">
      <alignment horizontal="center" vertical="center" shrinkToFit="1"/>
    </xf>
    <xf numFmtId="167" fontId="71" fillId="2" borderId="1" xfId="0" applyNumberFormat="1" applyFont="1" applyFill="1" applyBorder="1" applyAlignment="1">
      <alignment horizontal="left" vertical="center" shrinkToFit="1"/>
    </xf>
    <xf numFmtId="167" fontId="50" fillId="2" borderId="1" xfId="0" applyNumberFormat="1" applyFont="1" applyFill="1" applyBorder="1" applyAlignment="1">
      <alignment horizontal="right" vertical="center" shrinkToFit="1"/>
    </xf>
    <xf numFmtId="167" fontId="50" fillId="0" borderId="0" xfId="0" applyNumberFormat="1" applyFont="1" applyAlignment="1">
      <alignment horizontal="right" vertical="center" shrinkToFit="1"/>
    </xf>
    <xf numFmtId="167" fontId="50" fillId="0" borderId="0" xfId="0" applyNumberFormat="1" applyFont="1" applyAlignment="1">
      <alignment horizontal="right" vertical="center"/>
    </xf>
    <xf numFmtId="167" fontId="15" fillId="2" borderId="1" xfId="0" applyNumberFormat="1" applyFont="1" applyFill="1" applyBorder="1" applyAlignment="1">
      <alignment horizontal="center" vertical="center" shrinkToFit="1"/>
    </xf>
    <xf numFmtId="167" fontId="50" fillId="0" borderId="1" xfId="0" applyNumberFormat="1" applyFont="1" applyBorder="1" applyAlignment="1">
      <alignment horizontal="center" vertical="center" shrinkToFit="1"/>
    </xf>
    <xf numFmtId="167" fontId="50" fillId="0" borderId="1" xfId="0" applyNumberFormat="1" applyFont="1" applyBorder="1" applyAlignment="1">
      <alignment vertical="center" shrinkToFit="1"/>
    </xf>
    <xf numFmtId="167" fontId="50" fillId="0" borderId="0" xfId="0" applyNumberFormat="1" applyFont="1" applyAlignment="1">
      <alignment vertical="center" shrinkToFit="1"/>
    </xf>
    <xf numFmtId="167" fontId="50" fillId="0" borderId="0" xfId="0" applyNumberFormat="1" applyFont="1" applyAlignment="1">
      <alignment vertical="center"/>
    </xf>
    <xf numFmtId="167" fontId="50" fillId="2" borderId="1" xfId="0" applyNumberFormat="1" applyFont="1" applyFill="1" applyBorder="1" applyAlignment="1">
      <alignment horizontal="center" vertical="center" shrinkToFit="1"/>
    </xf>
    <xf numFmtId="167" fontId="50" fillId="2" borderId="1" xfId="0" applyNumberFormat="1" applyFont="1" applyFill="1" applyBorder="1" applyAlignment="1">
      <alignment vertical="center" shrinkToFit="1"/>
    </xf>
    <xf numFmtId="167" fontId="50" fillId="2" borderId="1" xfId="0" applyNumberFormat="1" applyFont="1" applyFill="1" applyBorder="1" applyAlignment="1">
      <alignment horizontal="left" vertical="center" shrinkToFit="1"/>
    </xf>
    <xf numFmtId="0" fontId="0" fillId="0" borderId="0" xfId="0" applyAlignment="1">
      <alignment horizontal="right" vertical="center" wrapText="1" indent="1"/>
    </xf>
    <xf numFmtId="167" fontId="50" fillId="0" borderId="0" xfId="0" applyNumberFormat="1" applyFont="1" applyAlignment="1">
      <alignment horizontal="left" vertical="center" indent="1"/>
    </xf>
    <xf numFmtId="167" fontId="50" fillId="0" borderId="0" xfId="0" applyNumberFormat="1" applyFont="1" applyAlignment="1">
      <alignment horizontal="center" vertical="center"/>
    </xf>
    <xf numFmtId="0" fontId="0" fillId="22" borderId="1" xfId="0" applyFill="1" applyBorder="1" applyAlignment="1">
      <alignment horizontal="left" vertical="center" indent="1"/>
    </xf>
    <xf numFmtId="9" fontId="0" fillId="22" borderId="1" xfId="0" applyNumberFormat="1" applyFill="1" applyBorder="1" applyAlignment="1">
      <alignment horizontal="center" vertical="center"/>
    </xf>
    <xf numFmtId="0" fontId="53" fillId="22" borderId="1" xfId="0" applyFont="1" applyFill="1" applyBorder="1" applyAlignment="1">
      <alignment horizontal="center" vertical="center"/>
    </xf>
    <xf numFmtId="0" fontId="72" fillId="0" borderId="0" xfId="0" applyFont="1" applyAlignment="1">
      <alignment vertical="center"/>
    </xf>
    <xf numFmtId="0" fontId="50" fillId="0" borderId="1" xfId="0" applyFont="1" applyBorder="1" applyAlignment="1">
      <alignment vertical="top" wrapText="1"/>
    </xf>
    <xf numFmtId="0" fontId="50" fillId="0" borderId="1" xfId="0" applyFont="1" applyBorder="1" applyAlignment="1">
      <alignment wrapText="1"/>
    </xf>
    <xf numFmtId="0" fontId="73" fillId="0" borderId="1" xfId="0" applyFont="1" applyBorder="1" applyAlignment="1">
      <alignment horizontal="left" vertical="center" wrapText="1" indent="1"/>
    </xf>
    <xf numFmtId="0" fontId="76" fillId="0" borderId="0" xfId="3" applyFont="1"/>
    <xf numFmtId="0" fontId="9" fillId="0" borderId="0" xfId="3"/>
    <xf numFmtId="9" fontId="9" fillId="0" borderId="0" xfId="3" applyNumberFormat="1"/>
    <xf numFmtId="9" fontId="0" fillId="0" borderId="0" xfId="4" applyFont="1"/>
    <xf numFmtId="0" fontId="9" fillId="0" borderId="0" xfId="3" applyAlignment="1">
      <alignment horizontal="left" indent="2"/>
    </xf>
    <xf numFmtId="0" fontId="77" fillId="0" borderId="0" xfId="3" applyFont="1"/>
    <xf numFmtId="2" fontId="9" fillId="0" borderId="0" xfId="3" applyNumberFormat="1"/>
    <xf numFmtId="0" fontId="9" fillId="0" borderId="0" xfId="3" applyAlignment="1">
      <alignment wrapText="1"/>
    </xf>
    <xf numFmtId="3" fontId="9" fillId="0" borderId="0" xfId="3" applyNumberFormat="1"/>
    <xf numFmtId="0" fontId="77" fillId="0" borderId="0" xfId="3" applyFont="1" applyAlignment="1">
      <alignment horizontal="right"/>
    </xf>
    <xf numFmtId="3" fontId="77" fillId="0" borderId="0" xfId="3" applyNumberFormat="1" applyFont="1"/>
    <xf numFmtId="0" fontId="86" fillId="0" borderId="0" xfId="5" applyFont="1"/>
    <xf numFmtId="0" fontId="87" fillId="0" borderId="0" xfId="5" applyFont="1"/>
    <xf numFmtId="0" fontId="86" fillId="0" borderId="2" xfId="5" applyFont="1" applyBorder="1"/>
    <xf numFmtId="0" fontId="86" fillId="0" borderId="3" xfId="5" applyFont="1" applyBorder="1"/>
    <xf numFmtId="0" fontId="86" fillId="0" borderId="1" xfId="5" applyFont="1" applyBorder="1"/>
    <xf numFmtId="0" fontId="88" fillId="0" borderId="0" xfId="6"/>
    <xf numFmtId="0" fontId="89" fillId="0" borderId="1" xfId="6" applyFont="1" applyBorder="1" applyAlignment="1">
      <alignment horizontal="center"/>
    </xf>
    <xf numFmtId="0" fontId="86" fillId="29" borderId="1" xfId="5" applyFont="1" applyFill="1" applyBorder="1"/>
    <xf numFmtId="0" fontId="86" fillId="29" borderId="1" xfId="5" applyFont="1" applyFill="1" applyBorder="1" applyAlignment="1">
      <alignment horizontal="center"/>
    </xf>
    <xf numFmtId="0" fontId="89" fillId="29" borderId="1" xfId="6" applyFont="1" applyFill="1" applyBorder="1"/>
    <xf numFmtId="0" fontId="86" fillId="0" borderId="1" xfId="5" applyFont="1" applyBorder="1" applyAlignment="1">
      <alignment horizontal="center"/>
    </xf>
    <xf numFmtId="174" fontId="86" fillId="0" borderId="1" xfId="5" applyNumberFormat="1" applyFont="1" applyBorder="1"/>
    <xf numFmtId="1" fontId="86" fillId="0" borderId="1" xfId="5" applyNumberFormat="1" applyFont="1" applyBorder="1"/>
    <xf numFmtId="3" fontId="86" fillId="0" borderId="1" xfId="5" applyNumberFormat="1" applyFont="1" applyBorder="1"/>
    <xf numFmtId="176" fontId="86" fillId="0" borderId="1" xfId="5" applyNumberFormat="1" applyFont="1" applyBorder="1"/>
    <xf numFmtId="177" fontId="86" fillId="0" borderId="1" xfId="5" applyNumberFormat="1" applyFont="1" applyBorder="1"/>
    <xf numFmtId="3" fontId="86" fillId="3" borderId="1" xfId="5" applyNumberFormat="1" applyFont="1" applyFill="1" applyBorder="1"/>
    <xf numFmtId="1" fontId="86" fillId="3" borderId="1" xfId="5" applyNumberFormat="1" applyFont="1" applyFill="1" applyBorder="1"/>
    <xf numFmtId="176" fontId="86" fillId="3" borderId="1" xfId="5" applyNumberFormat="1" applyFont="1" applyFill="1" applyBorder="1"/>
    <xf numFmtId="176" fontId="86" fillId="0" borderId="0" xfId="5" applyNumberFormat="1" applyFont="1"/>
    <xf numFmtId="3" fontId="86" fillId="0" borderId="0" xfId="5" applyNumberFormat="1" applyFont="1"/>
    <xf numFmtId="1" fontId="86" fillId="0" borderId="0" xfId="5" applyNumberFormat="1" applyFont="1"/>
    <xf numFmtId="178" fontId="86" fillId="0" borderId="1" xfId="5" applyNumberFormat="1" applyFont="1" applyBorder="1"/>
    <xf numFmtId="177" fontId="86" fillId="0" borderId="0" xfId="5" applyNumberFormat="1" applyFont="1"/>
    <xf numFmtId="178" fontId="86" fillId="0" borderId="0" xfId="5" applyNumberFormat="1" applyFont="1"/>
    <xf numFmtId="2" fontId="89" fillId="0" borderId="1" xfId="6" applyNumberFormat="1" applyFont="1" applyBorder="1" applyAlignment="1">
      <alignment horizontal="center"/>
    </xf>
    <xf numFmtId="2" fontId="89" fillId="0" borderId="0" xfId="6" applyNumberFormat="1" applyFont="1" applyAlignment="1">
      <alignment horizontal="center"/>
    </xf>
    <xf numFmtId="0" fontId="91" fillId="0" borderId="0" xfId="6" applyFont="1"/>
    <xf numFmtId="0" fontId="86" fillId="0" borderId="0" xfId="5" applyFont="1" applyAlignment="1">
      <alignment horizontal="left"/>
    </xf>
    <xf numFmtId="178" fontId="86" fillId="3" borderId="1" xfId="5" applyNumberFormat="1" applyFont="1" applyFill="1" applyBorder="1"/>
    <xf numFmtId="178" fontId="86" fillId="3" borderId="16" xfId="5" applyNumberFormat="1" applyFont="1" applyFill="1" applyBorder="1"/>
    <xf numFmtId="0" fontId="86" fillId="30" borderId="0" xfId="5" applyFont="1" applyFill="1"/>
    <xf numFmtId="0" fontId="91" fillId="30" borderId="0" xfId="6" applyFont="1" applyFill="1" applyAlignment="1">
      <alignment wrapText="1"/>
    </xf>
    <xf numFmtId="0" fontId="91" fillId="3" borderId="28" xfId="6" applyFont="1" applyFill="1" applyBorder="1"/>
    <xf numFmtId="2" fontId="91" fillId="30" borderId="0" xfId="6" applyNumberFormat="1" applyFont="1" applyFill="1"/>
    <xf numFmtId="1" fontId="92" fillId="30" borderId="0" xfId="6" applyNumberFormat="1" applyFont="1" applyFill="1"/>
    <xf numFmtId="0" fontId="91" fillId="3" borderId="31" xfId="6" applyFont="1" applyFill="1" applyBorder="1"/>
    <xf numFmtId="0" fontId="91" fillId="30" borderId="0" xfId="6" applyFont="1" applyFill="1"/>
    <xf numFmtId="9" fontId="91" fillId="3" borderId="30" xfId="7" applyFont="1" applyFill="1" applyBorder="1"/>
    <xf numFmtId="3" fontId="91" fillId="3" borderId="34" xfId="6" applyNumberFormat="1" applyFont="1" applyFill="1" applyBorder="1"/>
    <xf numFmtId="0" fontId="91" fillId="3" borderId="35" xfId="6" applyFont="1" applyFill="1" applyBorder="1"/>
    <xf numFmtId="3" fontId="91" fillId="30" borderId="0" xfId="6" applyNumberFormat="1" applyFont="1" applyFill="1"/>
    <xf numFmtId="0" fontId="86" fillId="0" borderId="16" xfId="5" applyFont="1" applyBorder="1" applyAlignment="1">
      <alignment wrapText="1"/>
    </xf>
    <xf numFmtId="177" fontId="87" fillId="0" borderId="36" xfId="5" applyNumberFormat="1" applyFont="1" applyBorder="1"/>
    <xf numFmtId="0" fontId="86" fillId="0" borderId="37" xfId="5" applyFont="1" applyBorder="1"/>
    <xf numFmtId="177" fontId="87" fillId="0" borderId="0" xfId="5" applyNumberFormat="1" applyFont="1"/>
    <xf numFmtId="2" fontId="89" fillId="0" borderId="0" xfId="7" applyNumberFormat="1" applyFont="1" applyBorder="1" applyAlignment="1">
      <alignment horizontal="center"/>
    </xf>
    <xf numFmtId="0" fontId="86" fillId="0" borderId="38" xfId="5" applyFont="1" applyBorder="1" applyAlignment="1">
      <alignment wrapText="1"/>
    </xf>
    <xf numFmtId="177" fontId="87" fillId="0" borderId="39" xfId="5" applyNumberFormat="1" applyFont="1" applyBorder="1"/>
    <xf numFmtId="0" fontId="86" fillId="0" borderId="40" xfId="5" applyFont="1" applyBorder="1"/>
    <xf numFmtId="0" fontId="86" fillId="0" borderId="41" xfId="5" applyFont="1" applyBorder="1" applyAlignment="1">
      <alignment wrapText="1"/>
    </xf>
    <xf numFmtId="177" fontId="87" fillId="25" borderId="42" xfId="5" applyNumberFormat="1" applyFont="1" applyFill="1" applyBorder="1"/>
    <xf numFmtId="0" fontId="86" fillId="0" borderId="43" xfId="5" applyFont="1" applyBorder="1"/>
    <xf numFmtId="3" fontId="87" fillId="0" borderId="42" xfId="5" applyNumberFormat="1" applyFont="1" applyBorder="1"/>
    <xf numFmtId="180" fontId="87" fillId="0" borderId="0" xfId="5" applyNumberFormat="1" applyFont="1"/>
    <xf numFmtId="0" fontId="86" fillId="0" borderId="17" xfId="5" applyFont="1" applyBorder="1" applyAlignment="1">
      <alignment wrapText="1"/>
    </xf>
    <xf numFmtId="3" fontId="87" fillId="0" borderId="44" xfId="5" applyNumberFormat="1" applyFont="1" applyBorder="1"/>
    <xf numFmtId="0" fontId="86" fillId="0" borderId="45" xfId="5" applyFont="1" applyBorder="1"/>
    <xf numFmtId="3" fontId="87" fillId="0" borderId="0" xfId="5" applyNumberFormat="1" applyFont="1"/>
    <xf numFmtId="0" fontId="90" fillId="0" borderId="0" xfId="6" applyFont="1" applyAlignment="1">
      <alignment wrapText="1"/>
    </xf>
    <xf numFmtId="0" fontId="90" fillId="0" borderId="0" xfId="6" applyFont="1"/>
    <xf numFmtId="0" fontId="93" fillId="29" borderId="1" xfId="5" applyFont="1" applyFill="1" applyBorder="1"/>
    <xf numFmtId="0" fontId="95" fillId="0" borderId="1" xfId="5" applyFont="1" applyBorder="1"/>
    <xf numFmtId="0" fontId="94" fillId="0" borderId="1" xfId="5" applyFont="1" applyBorder="1"/>
    <xf numFmtId="0" fontId="93" fillId="0" borderId="1" xfId="5" applyFont="1" applyBorder="1"/>
    <xf numFmtId="0" fontId="93" fillId="0" borderId="1" xfId="5" applyFont="1" applyBorder="1" applyAlignment="1">
      <alignment horizontal="left" indent="1"/>
    </xf>
    <xf numFmtId="1" fontId="93" fillId="30" borderId="1" xfId="5" applyNumberFormat="1" applyFont="1" applyFill="1" applyBorder="1"/>
    <xf numFmtId="174" fontId="93" fillId="30" borderId="1" xfId="5" applyNumberFormat="1" applyFont="1" applyFill="1" applyBorder="1"/>
    <xf numFmtId="3" fontId="93" fillId="0" borderId="1" xfId="5" applyNumberFormat="1" applyFont="1" applyBorder="1"/>
    <xf numFmtId="0" fontId="94" fillId="0" borderId="1" xfId="5" applyFont="1" applyBorder="1" applyAlignment="1">
      <alignment wrapText="1"/>
    </xf>
    <xf numFmtId="175" fontId="93" fillId="0" borderId="1" xfId="5" applyNumberFormat="1" applyFont="1" applyBorder="1"/>
    <xf numFmtId="176" fontId="93" fillId="0" borderId="1" xfId="5" applyNumberFormat="1" applyFont="1" applyBorder="1"/>
    <xf numFmtId="9" fontId="93" fillId="0" borderId="1" xfId="5" applyNumberFormat="1" applyFont="1" applyBorder="1"/>
    <xf numFmtId="1" fontId="93" fillId="0" borderId="1" xfId="5" applyNumberFormat="1" applyFont="1" applyBorder="1"/>
    <xf numFmtId="168" fontId="93" fillId="0" borderId="1" xfId="5" applyNumberFormat="1" applyFont="1" applyBorder="1"/>
    <xf numFmtId="177" fontId="93" fillId="0" borderId="1" xfId="5" applyNumberFormat="1" applyFont="1" applyBorder="1"/>
    <xf numFmtId="0" fontId="93" fillId="0" borderId="1" xfId="5" applyFont="1" applyBorder="1" applyAlignment="1">
      <alignment horizontal="left" indent="3"/>
    </xf>
    <xf numFmtId="10" fontId="93" fillId="0" borderId="1" xfId="5" applyNumberFormat="1" applyFont="1" applyBorder="1" applyAlignment="1">
      <alignment horizontal="right"/>
    </xf>
    <xf numFmtId="10" fontId="93" fillId="0" borderId="1" xfId="5" applyNumberFormat="1" applyFont="1" applyBorder="1" applyAlignment="1">
      <alignment horizontal="left" indent="3"/>
    </xf>
    <xf numFmtId="0" fontId="93" fillId="0" borderId="1" xfId="5" applyFont="1" applyBorder="1" applyAlignment="1">
      <alignment wrapText="1"/>
    </xf>
    <xf numFmtId="0" fontId="93" fillId="0" borderId="1" xfId="5" applyFont="1" applyBorder="1" applyAlignment="1">
      <alignment horizontal="left" wrapText="1" indent="1"/>
    </xf>
    <xf numFmtId="0" fontId="96" fillId="3" borderId="1" xfId="5" applyFont="1" applyFill="1" applyBorder="1" applyAlignment="1">
      <alignment wrapText="1"/>
    </xf>
    <xf numFmtId="0" fontId="94" fillId="3" borderId="1" xfId="5" applyFont="1" applyFill="1" applyBorder="1"/>
    <xf numFmtId="177" fontId="93" fillId="3" borderId="1" xfId="5" applyNumberFormat="1" applyFont="1" applyFill="1" applyBorder="1"/>
    <xf numFmtId="0" fontId="93" fillId="3" borderId="1" xfId="5" applyFont="1" applyFill="1" applyBorder="1" applyAlignment="1">
      <alignment horizontal="left" wrapText="1" indent="2"/>
    </xf>
    <xf numFmtId="0" fontId="93" fillId="3" borderId="1" xfId="5" applyFont="1" applyFill="1" applyBorder="1" applyAlignment="1">
      <alignment horizontal="left" wrapText="1" indent="4"/>
    </xf>
    <xf numFmtId="0" fontId="96" fillId="3" borderId="1" xfId="5" applyFont="1" applyFill="1" applyBorder="1"/>
    <xf numFmtId="3" fontId="93" fillId="3" borderId="1" xfId="5" applyNumberFormat="1" applyFont="1" applyFill="1" applyBorder="1"/>
    <xf numFmtId="0" fontId="93" fillId="3" borderId="1" xfId="5" applyFont="1" applyFill="1" applyBorder="1" applyAlignment="1">
      <alignment horizontal="left" indent="1"/>
    </xf>
    <xf numFmtId="1" fontId="93" fillId="3" borderId="1" xfId="5" applyNumberFormat="1" applyFont="1" applyFill="1" applyBorder="1"/>
    <xf numFmtId="0" fontId="93" fillId="3" borderId="1" xfId="5" applyFont="1" applyFill="1" applyBorder="1"/>
    <xf numFmtId="176" fontId="93" fillId="3" borderId="1" xfId="5" applyNumberFormat="1" applyFont="1" applyFill="1" applyBorder="1"/>
    <xf numFmtId="0" fontId="94" fillId="3" borderId="1" xfId="5" applyFont="1" applyFill="1" applyBorder="1" applyAlignment="1">
      <alignment wrapText="1"/>
    </xf>
    <xf numFmtId="0" fontId="93" fillId="0" borderId="0" xfId="5" applyFont="1" applyAlignment="1">
      <alignment horizontal="left" indent="1"/>
    </xf>
    <xf numFmtId="0" fontId="93" fillId="0" borderId="0" xfId="5" applyFont="1"/>
    <xf numFmtId="0" fontId="94" fillId="0" borderId="0" xfId="5" applyFont="1"/>
    <xf numFmtId="3" fontId="93" fillId="0" borderId="0" xfId="5" applyNumberFormat="1" applyFont="1"/>
    <xf numFmtId="0" fontId="96" fillId="0" borderId="0" xfId="5" applyFont="1"/>
    <xf numFmtId="0" fontId="93" fillId="0" borderId="2" xfId="5" applyFont="1" applyBorder="1"/>
    <xf numFmtId="178" fontId="93" fillId="0" borderId="1" xfId="5" applyNumberFormat="1" applyFont="1" applyBorder="1"/>
    <xf numFmtId="177" fontId="93" fillId="0" borderId="0" xfId="5" applyNumberFormat="1" applyFont="1"/>
    <xf numFmtId="178" fontId="93" fillId="0" borderId="0" xfId="5" applyNumberFormat="1" applyFont="1"/>
    <xf numFmtId="0" fontId="91" fillId="0" borderId="1" xfId="6" applyFont="1" applyBorder="1" applyAlignment="1">
      <alignment wrapText="1"/>
    </xf>
    <xf numFmtId="9" fontId="94" fillId="0" borderId="0" xfId="5" applyNumberFormat="1" applyFont="1"/>
    <xf numFmtId="0" fontId="91" fillId="0" borderId="0" xfId="6" applyFont="1" applyAlignment="1">
      <alignment wrapText="1"/>
    </xf>
    <xf numFmtId="0" fontId="89" fillId="0" borderId="0" xfId="6" applyFont="1" applyAlignment="1">
      <alignment horizontal="center"/>
    </xf>
    <xf numFmtId="0" fontId="91" fillId="3" borderId="1" xfId="6" applyFont="1" applyFill="1" applyBorder="1" applyAlignment="1">
      <alignment wrapText="1"/>
    </xf>
    <xf numFmtId="178" fontId="93" fillId="3" borderId="1" xfId="5" applyNumberFormat="1" applyFont="1" applyFill="1" applyBorder="1"/>
    <xf numFmtId="0" fontId="93" fillId="30" borderId="0" xfId="5" applyFont="1" applyFill="1"/>
    <xf numFmtId="0" fontId="94" fillId="30" borderId="0" xfId="5" applyFont="1" applyFill="1"/>
    <xf numFmtId="179" fontId="93" fillId="3" borderId="27" xfId="5" applyNumberFormat="1" applyFont="1" applyFill="1" applyBorder="1"/>
    <xf numFmtId="0" fontId="93" fillId="0" borderId="1" xfId="5" applyFont="1" applyBorder="1" applyAlignment="1">
      <alignment horizontal="left" indent="2"/>
    </xf>
    <xf numFmtId="0" fontId="0" fillId="0" borderId="1" xfId="0" applyBorder="1" applyAlignment="1">
      <alignment horizontal="center" vertical="top" wrapText="1"/>
    </xf>
    <xf numFmtId="0" fontId="0" fillId="0" borderId="1" xfId="0" applyBorder="1"/>
    <xf numFmtId="9" fontId="0" fillId="0" borderId="0" xfId="1" applyFont="1" applyBorder="1"/>
    <xf numFmtId="9" fontId="0" fillId="0" borderId="0" xfId="1" applyFont="1"/>
    <xf numFmtId="0" fontId="76" fillId="0" borderId="0" xfId="0" applyFont="1"/>
    <xf numFmtId="1" fontId="0" fillId="0" borderId="0" xfId="0" applyNumberFormat="1"/>
    <xf numFmtId="0" fontId="75" fillId="0" borderId="1" xfId="0" applyFont="1" applyBorder="1"/>
    <xf numFmtId="3" fontId="75" fillId="0" borderId="1" xfId="0" applyNumberFormat="1" applyFont="1" applyBorder="1"/>
    <xf numFmtId="1" fontId="75" fillId="0" borderId="1" xfId="0" applyNumberFormat="1" applyFont="1" applyBorder="1"/>
    <xf numFmtId="3" fontId="0" fillId="0" borderId="1" xfId="0" applyNumberFormat="1" applyBorder="1"/>
    <xf numFmtId="3" fontId="0" fillId="0" borderId="0" xfId="0" applyNumberFormat="1"/>
    <xf numFmtId="0" fontId="0" fillId="0" borderId="0" xfId="0" applyAlignment="1">
      <alignment horizontal="center" vertical="top" wrapText="1"/>
    </xf>
    <xf numFmtId="9" fontId="0" fillId="0" borderId="0" xfId="1" applyFont="1" applyFill="1" applyBorder="1"/>
    <xf numFmtId="3" fontId="76" fillId="0" borderId="1" xfId="0" applyNumberFormat="1" applyFont="1" applyBorder="1"/>
    <xf numFmtId="9" fontId="76" fillId="0" borderId="0" xfId="1" applyFont="1" applyFill="1" applyBorder="1"/>
    <xf numFmtId="0" fontId="0" fillId="28" borderId="3" xfId="0" applyFill="1" applyBorder="1"/>
    <xf numFmtId="3" fontId="76" fillId="28" borderId="1" xfId="0" applyNumberFormat="1" applyFont="1" applyFill="1" applyBorder="1"/>
    <xf numFmtId="0" fontId="0" fillId="28" borderId="1" xfId="0" applyFill="1" applyBorder="1"/>
    <xf numFmtId="3" fontId="0" fillId="0" borderId="1" xfId="0" applyNumberFormat="1" applyBorder="1" applyAlignment="1">
      <alignment wrapText="1"/>
    </xf>
    <xf numFmtId="9" fontId="0" fillId="0" borderId="0" xfId="1" applyFont="1" applyFill="1"/>
    <xf numFmtId="3" fontId="75" fillId="0" borderId="1" xfId="0" applyNumberFormat="1" applyFont="1" applyBorder="1" applyAlignment="1">
      <alignment wrapText="1"/>
    </xf>
    <xf numFmtId="3" fontId="83" fillId="0" borderId="1" xfId="0" applyNumberFormat="1" applyFont="1" applyBorder="1" applyAlignment="1">
      <alignment wrapText="1"/>
    </xf>
    <xf numFmtId="3" fontId="85" fillId="0" borderId="1" xfId="0" applyNumberFormat="1" applyFont="1" applyBorder="1" applyAlignment="1">
      <alignment wrapText="1"/>
    </xf>
    <xf numFmtId="3" fontId="84" fillId="0" borderId="1" xfId="0" applyNumberFormat="1" applyFont="1" applyBorder="1" applyAlignment="1">
      <alignment wrapText="1"/>
    </xf>
    <xf numFmtId="168" fontId="0" fillId="0" borderId="0" xfId="1" applyNumberFormat="1" applyFont="1" applyFill="1"/>
    <xf numFmtId="3" fontId="78" fillId="0" borderId="1" xfId="0" applyNumberFormat="1" applyFont="1" applyBorder="1"/>
    <xf numFmtId="0" fontId="78" fillId="0" borderId="1" xfId="0" applyFont="1" applyBorder="1"/>
    <xf numFmtId="1" fontId="78" fillId="0" borderId="1" xfId="0" applyNumberFormat="1" applyFont="1" applyBorder="1"/>
    <xf numFmtId="3" fontId="78" fillId="0" borderId="1" xfId="0" applyNumberFormat="1" applyFont="1" applyBorder="1" applyAlignment="1">
      <alignment wrapText="1"/>
    </xf>
    <xf numFmtId="3" fontId="82" fillId="0" borderId="1" xfId="0" applyNumberFormat="1" applyFont="1" applyBorder="1" applyAlignment="1">
      <alignment wrapText="1"/>
    </xf>
    <xf numFmtId="0" fontId="77" fillId="0" borderId="12" xfId="0" applyFont="1" applyBorder="1" applyAlignment="1">
      <alignment horizontal="right"/>
    </xf>
    <xf numFmtId="0" fontId="77" fillId="0" borderId="12" xfId="0" applyFont="1" applyBorder="1"/>
    <xf numFmtId="3" fontId="77" fillId="0" borderId="12" xfId="0" applyNumberFormat="1" applyFont="1" applyBorder="1"/>
    <xf numFmtId="0" fontId="86" fillId="0" borderId="0" xfId="8" applyFont="1"/>
    <xf numFmtId="9" fontId="86" fillId="0" borderId="1" xfId="9" applyFont="1" applyBorder="1"/>
    <xf numFmtId="9" fontId="86" fillId="0" borderId="0" xfId="9" applyFont="1" applyFill="1"/>
    <xf numFmtId="0" fontId="97" fillId="0" borderId="0" xfId="0" applyFont="1"/>
    <xf numFmtId="0" fontId="86" fillId="0" borderId="0" xfId="0" applyFont="1"/>
    <xf numFmtId="0" fontId="86" fillId="29" borderId="1" xfId="0" applyFont="1" applyFill="1" applyBorder="1"/>
    <xf numFmtId="0" fontId="86" fillId="29" borderId="2" xfId="0" applyFont="1" applyFill="1" applyBorder="1" applyAlignment="1">
      <alignment horizontal="center" vertical="top"/>
    </xf>
    <xf numFmtId="0" fontId="86" fillId="29" borderId="4" xfId="0" applyFont="1" applyFill="1" applyBorder="1" applyAlignment="1">
      <alignment horizontal="center" vertical="top"/>
    </xf>
    <xf numFmtId="0" fontId="86" fillId="29" borderId="1" xfId="0" applyFont="1" applyFill="1" applyBorder="1" applyAlignment="1">
      <alignment horizontal="center" vertical="top" wrapText="1"/>
    </xf>
    <xf numFmtId="0" fontId="97" fillId="27" borderId="1" xfId="0" applyFont="1" applyFill="1" applyBorder="1"/>
    <xf numFmtId="0" fontId="86" fillId="27" borderId="2" xfId="0" applyFont="1" applyFill="1" applyBorder="1"/>
    <xf numFmtId="0" fontId="86" fillId="27" borderId="4" xfId="0" applyFont="1" applyFill="1" applyBorder="1"/>
    <xf numFmtId="0" fontId="86" fillId="27" borderId="1" xfId="0" applyFont="1" applyFill="1" applyBorder="1"/>
    <xf numFmtId="0" fontId="86" fillId="0" borderId="1" xfId="0" applyFont="1" applyBorder="1"/>
    <xf numFmtId="0" fontId="86" fillId="0" borderId="2" xfId="0" applyFont="1" applyBorder="1"/>
    <xf numFmtId="0" fontId="86" fillId="0" borderId="4" xfId="0" applyFont="1" applyBorder="1"/>
    <xf numFmtId="3" fontId="86" fillId="0" borderId="2" xfId="0" applyNumberFormat="1" applyFont="1" applyBorder="1"/>
    <xf numFmtId="3" fontId="86" fillId="0" borderId="4" xfId="0" applyNumberFormat="1" applyFont="1" applyBorder="1"/>
    <xf numFmtId="1" fontId="86" fillId="0" borderId="0" xfId="0" applyNumberFormat="1" applyFont="1"/>
    <xf numFmtId="0" fontId="86" fillId="0" borderId="1" xfId="0" applyFont="1" applyBorder="1" applyAlignment="1">
      <alignment wrapText="1"/>
    </xf>
    <xf numFmtId="0" fontId="98" fillId="0" borderId="1" xfId="0" applyFont="1" applyBorder="1"/>
    <xf numFmtId="3" fontId="98" fillId="0" borderId="2" xfId="0" applyNumberFormat="1" applyFont="1" applyBorder="1"/>
    <xf numFmtId="3" fontId="98" fillId="0" borderId="4" xfId="0" applyNumberFormat="1" applyFont="1" applyBorder="1"/>
    <xf numFmtId="0" fontId="86" fillId="27" borderId="1" xfId="0" applyFont="1" applyFill="1" applyBorder="1" applyAlignment="1">
      <alignment horizontal="center" vertical="top" wrapText="1"/>
    </xf>
    <xf numFmtId="0" fontId="86" fillId="0" borderId="0" xfId="0" applyFont="1" applyAlignment="1">
      <alignment horizontal="center" vertical="top" wrapText="1"/>
    </xf>
    <xf numFmtId="0" fontId="97" fillId="0" borderId="1" xfId="0" applyFont="1" applyBorder="1"/>
    <xf numFmtId="3" fontId="86" fillId="0" borderId="0" xfId="0" applyNumberFormat="1" applyFont="1"/>
    <xf numFmtId="0" fontId="97" fillId="28" borderId="1" xfId="0" applyFont="1" applyFill="1" applyBorder="1"/>
    <xf numFmtId="3" fontId="97" fillId="28" borderId="2" xfId="0" applyNumberFormat="1" applyFont="1" applyFill="1" applyBorder="1"/>
    <xf numFmtId="3" fontId="97" fillId="28" borderId="4" xfId="0" applyNumberFormat="1" applyFont="1" applyFill="1" applyBorder="1"/>
    <xf numFmtId="3" fontId="97" fillId="28" borderId="1" xfId="0" applyNumberFormat="1" applyFont="1" applyFill="1" applyBorder="1"/>
    <xf numFmtId="3" fontId="97" fillId="0" borderId="0" xfId="0" applyNumberFormat="1" applyFont="1"/>
    <xf numFmtId="0" fontId="86" fillId="0" borderId="1" xfId="0" applyFont="1" applyBorder="1" applyAlignment="1">
      <alignment horizontal="left" indent="1"/>
    </xf>
    <xf numFmtId="0" fontId="97" fillId="28" borderId="11" xfId="0" applyFont="1" applyFill="1" applyBorder="1"/>
    <xf numFmtId="3" fontId="97" fillId="28" borderId="11" xfId="0" applyNumberFormat="1" applyFont="1" applyFill="1" applyBorder="1"/>
    <xf numFmtId="3" fontId="97" fillId="28" borderId="13" xfId="0" applyNumberFormat="1" applyFont="1" applyFill="1" applyBorder="1"/>
    <xf numFmtId="3" fontId="97" fillId="28" borderId="12" xfId="0" applyNumberFormat="1" applyFont="1" applyFill="1" applyBorder="1"/>
    <xf numFmtId="0" fontId="97" fillId="28" borderId="14" xfId="0" applyFont="1" applyFill="1" applyBorder="1"/>
    <xf numFmtId="3" fontId="97" fillId="28" borderId="14" xfId="0" applyNumberFormat="1" applyFont="1" applyFill="1" applyBorder="1"/>
    <xf numFmtId="3" fontId="97" fillId="28" borderId="15" xfId="0" applyNumberFormat="1" applyFont="1" applyFill="1" applyBorder="1"/>
    <xf numFmtId="3" fontId="97" fillId="28" borderId="10" xfId="0" applyNumberFormat="1" applyFont="1" applyFill="1" applyBorder="1"/>
    <xf numFmtId="0" fontId="86" fillId="0" borderId="0" xfId="0" applyFont="1" applyAlignment="1">
      <alignment horizontal="left" wrapText="1" indent="1"/>
    </xf>
    <xf numFmtId="0" fontId="99" fillId="0" borderId="0" xfId="10" applyFont="1"/>
    <xf numFmtId="0" fontId="86" fillId="0" borderId="0" xfId="10" applyFont="1"/>
    <xf numFmtId="0" fontId="100" fillId="0" borderId="0" xfId="10" applyFont="1"/>
    <xf numFmtId="0" fontId="97" fillId="0" borderId="0" xfId="10" applyFont="1"/>
    <xf numFmtId="0" fontId="86" fillId="0" borderId="1" xfId="10" applyFont="1" applyBorder="1"/>
    <xf numFmtId="0" fontId="101" fillId="0" borderId="1" xfId="10" applyFont="1" applyBorder="1" applyAlignment="1">
      <alignment vertical="center" wrapText="1"/>
    </xf>
    <xf numFmtId="0" fontId="102" fillId="0" borderId="2" xfId="10" applyFont="1" applyBorder="1" applyAlignment="1">
      <alignment horizontal="left" vertical="center" wrapText="1" indent="1"/>
    </xf>
    <xf numFmtId="0" fontId="86" fillId="26" borderId="1" xfId="10" applyFont="1" applyFill="1" applyBorder="1"/>
    <xf numFmtId="0" fontId="101" fillId="0" borderId="2" xfId="10" applyFont="1" applyBorder="1" applyAlignment="1">
      <alignment vertical="center" wrapText="1"/>
    </xf>
    <xf numFmtId="0" fontId="102" fillId="0" borderId="0" xfId="10" applyFont="1" applyAlignment="1">
      <alignment horizontal="left" vertical="center" wrapText="1" indent="1"/>
    </xf>
    <xf numFmtId="0" fontId="103" fillId="0" borderId="1" xfId="10" applyFont="1" applyBorder="1" applyAlignment="1">
      <alignment vertical="center" wrapText="1"/>
    </xf>
    <xf numFmtId="0" fontId="86" fillId="0" borderId="1" xfId="10" applyFont="1" applyBorder="1" applyAlignment="1">
      <alignment horizontal="center"/>
    </xf>
    <xf numFmtId="0" fontId="101" fillId="0" borderId="1" xfId="10" applyFont="1" applyBorder="1" applyAlignment="1">
      <alignment horizontal="left" vertical="center" wrapText="1" indent="1"/>
    </xf>
    <xf numFmtId="0" fontId="97" fillId="0" borderId="1" xfId="10" applyFont="1" applyBorder="1"/>
    <xf numFmtId="49" fontId="86" fillId="26" borderId="1" xfId="10" applyNumberFormat="1" applyFont="1" applyFill="1" applyBorder="1" applyAlignment="1">
      <alignment horizontal="center"/>
    </xf>
    <xf numFmtId="0" fontId="104" fillId="0" borderId="1" xfId="10" applyFont="1" applyBorder="1" applyAlignment="1">
      <alignment wrapText="1"/>
    </xf>
    <xf numFmtId="49" fontId="86" fillId="0" borderId="1" xfId="10" applyNumberFormat="1" applyFont="1" applyBorder="1"/>
    <xf numFmtId="0" fontId="105" fillId="0" borderId="1" xfId="10" applyFont="1" applyBorder="1" applyAlignment="1">
      <alignment horizontal="left" indent="1"/>
    </xf>
    <xf numFmtId="0" fontId="104" fillId="0" borderId="0" xfId="10" applyFont="1"/>
    <xf numFmtId="1" fontId="86" fillId="26" borderId="1" xfId="10" applyNumberFormat="1" applyFont="1" applyFill="1" applyBorder="1"/>
    <xf numFmtId="3" fontId="86" fillId="26" borderId="1" xfId="10" applyNumberFormat="1" applyFont="1" applyFill="1" applyBorder="1"/>
    <xf numFmtId="0" fontId="105" fillId="0" borderId="0" xfId="10" applyFont="1" applyAlignment="1">
      <alignment horizontal="left" wrapText="1" indent="1"/>
    </xf>
    <xf numFmtId="0" fontId="106" fillId="0" borderId="0" xfId="10" applyFont="1" applyAlignment="1">
      <alignment wrapText="1"/>
    </xf>
    <xf numFmtId="1" fontId="88" fillId="0" borderId="1" xfId="6" applyNumberFormat="1" applyBorder="1"/>
    <xf numFmtId="9" fontId="86" fillId="26" borderId="1" xfId="1" applyFont="1" applyFill="1" applyBorder="1"/>
    <xf numFmtId="9" fontId="86" fillId="26" borderId="1" xfId="10" applyNumberFormat="1" applyFont="1" applyFill="1" applyBorder="1"/>
    <xf numFmtId="9" fontId="86" fillId="30" borderId="1" xfId="1" applyFont="1" applyFill="1" applyBorder="1"/>
    <xf numFmtId="9" fontId="93" fillId="30" borderId="1" xfId="1" applyFont="1" applyFill="1" applyBorder="1"/>
    <xf numFmtId="3" fontId="86" fillId="0" borderId="1" xfId="5" applyNumberFormat="1" applyFont="1" applyBorder="1" applyAlignment="1">
      <alignment horizontal="right"/>
    </xf>
    <xf numFmtId="174" fontId="86" fillId="0" borderId="0" xfId="5" applyNumberFormat="1" applyFont="1"/>
    <xf numFmtId="175" fontId="86" fillId="0" borderId="1" xfId="5" applyNumberFormat="1" applyFont="1" applyBorder="1"/>
    <xf numFmtId="0" fontId="93" fillId="30" borderId="0" xfId="0" applyFont="1" applyFill="1"/>
    <xf numFmtId="0" fontId="91" fillId="30" borderId="10" xfId="0" applyFont="1" applyFill="1" applyBorder="1" applyAlignment="1">
      <alignment vertical="center" wrapText="1"/>
    </xf>
    <xf numFmtId="0" fontId="93" fillId="30" borderId="10" xfId="0" applyFont="1" applyFill="1" applyBorder="1"/>
    <xf numFmtId="179" fontId="86" fillId="0" borderId="0" xfId="11" applyNumberFormat="1" applyFont="1"/>
    <xf numFmtId="1" fontId="91" fillId="0" borderId="0" xfId="6" applyNumberFormat="1" applyFont="1"/>
    <xf numFmtId="9" fontId="91" fillId="0" borderId="0" xfId="7" applyFont="1" applyBorder="1" applyAlignment="1"/>
    <xf numFmtId="3" fontId="91" fillId="0" borderId="0" xfId="6" applyNumberFormat="1" applyFont="1"/>
    <xf numFmtId="0" fontId="112" fillId="0" borderId="1" xfId="0" applyFont="1" applyBorder="1"/>
    <xf numFmtId="0" fontId="113" fillId="0" borderId="0" xfId="0" applyFont="1"/>
    <xf numFmtId="9" fontId="112" fillId="0" borderId="0" xfId="0" applyNumberFormat="1" applyFont="1"/>
    <xf numFmtId="0" fontId="112" fillId="0" borderId="0" xfId="0" applyFont="1"/>
    <xf numFmtId="173" fontId="113" fillId="0" borderId="0" xfId="0" applyNumberFormat="1" applyFont="1"/>
    <xf numFmtId="1" fontId="112" fillId="0" borderId="0" xfId="0" applyNumberFormat="1" applyFont="1"/>
    <xf numFmtId="0" fontId="112" fillId="0" borderId="1" xfId="0" applyFont="1" applyBorder="1" applyAlignment="1">
      <alignment horizontal="center" wrapText="1"/>
    </xf>
    <xf numFmtId="0" fontId="112" fillId="0" borderId="1" xfId="0" applyFont="1" applyBorder="1" applyAlignment="1">
      <alignment horizontal="left" wrapText="1"/>
    </xf>
    <xf numFmtId="173" fontId="112" fillId="0" borderId="1" xfId="0" applyNumberFormat="1" applyFont="1" applyBorder="1"/>
    <xf numFmtId="2" fontId="112" fillId="0" borderId="0" xfId="0" applyNumberFormat="1" applyFont="1"/>
    <xf numFmtId="174" fontId="112" fillId="0" borderId="1" xfId="0" applyNumberFormat="1" applyFont="1" applyBorder="1"/>
    <xf numFmtId="174" fontId="112" fillId="0" borderId="0" xfId="0" applyNumberFormat="1" applyFont="1"/>
    <xf numFmtId="173" fontId="112" fillId="0" borderId="0" xfId="0" applyNumberFormat="1" applyFont="1"/>
    <xf numFmtId="0" fontId="112" fillId="0" borderId="10" xfId="0" applyFont="1" applyBorder="1" applyAlignment="1">
      <alignment horizontal="center"/>
    </xf>
    <xf numFmtId="9" fontId="112" fillId="0" borderId="10" xfId="0" applyNumberFormat="1" applyFont="1" applyBorder="1" applyAlignment="1">
      <alignment wrapText="1"/>
    </xf>
    <xf numFmtId="3" fontId="112" fillId="0" borderId="1" xfId="0" applyNumberFormat="1" applyFont="1" applyBorder="1"/>
    <xf numFmtId="9" fontId="112" fillId="0" borderId="1" xfId="1" applyFont="1" applyBorder="1"/>
    <xf numFmtId="1" fontId="112" fillId="0" borderId="1" xfId="0" applyNumberFormat="1" applyFont="1" applyBorder="1"/>
    <xf numFmtId="0" fontId="114" fillId="28" borderId="2" xfId="0" applyFont="1" applyFill="1" applyBorder="1"/>
    <xf numFmtId="3" fontId="0" fillId="3" borderId="1" xfId="0" applyNumberFormat="1" applyFill="1" applyBorder="1" applyAlignment="1" applyProtection="1">
      <alignment horizontal="left" vertical="center" indent="1" shrinkToFit="1"/>
      <protection locked="0"/>
    </xf>
    <xf numFmtId="0" fontId="94" fillId="29" borderId="1" xfId="5" applyFont="1" applyFill="1" applyBorder="1" applyAlignment="1">
      <alignment horizontal="right" vertical="top"/>
    </xf>
    <xf numFmtId="174" fontId="115" fillId="0" borderId="1" xfId="5" applyNumberFormat="1" applyFont="1" applyBorder="1"/>
    <xf numFmtId="174" fontId="115" fillId="0" borderId="1" xfId="5" applyNumberFormat="1" applyFont="1" applyBorder="1" applyAlignment="1">
      <alignment horizontal="right"/>
    </xf>
    <xf numFmtId="0" fontId="93" fillId="0" borderId="1" xfId="5" applyFont="1" applyBorder="1" applyAlignment="1">
      <alignment horizontal="left" wrapText="1" indent="2"/>
    </xf>
    <xf numFmtId="1" fontId="86" fillId="0" borderId="2" xfId="0" applyNumberFormat="1" applyFont="1" applyBorder="1"/>
    <xf numFmtId="174" fontId="86" fillId="0" borderId="2" xfId="0" applyNumberFormat="1" applyFont="1" applyBorder="1"/>
    <xf numFmtId="9" fontId="86" fillId="0" borderId="2" xfId="1" applyFont="1" applyBorder="1"/>
    <xf numFmtId="3" fontId="86" fillId="0" borderId="0" xfId="10" applyNumberFormat="1" applyFont="1"/>
    <xf numFmtId="0" fontId="112" fillId="29" borderId="1" xfId="0" applyFont="1" applyFill="1" applyBorder="1" applyAlignment="1">
      <alignment horizontal="center" vertical="top" wrapText="1"/>
    </xf>
    <xf numFmtId="0" fontId="114" fillId="11" borderId="1" xfId="0" applyFont="1" applyFill="1" applyBorder="1" applyAlignment="1">
      <alignment horizontal="left"/>
    </xf>
    <xf numFmtId="0" fontId="114" fillId="11" borderId="1" xfId="0" applyFont="1" applyFill="1" applyBorder="1"/>
    <xf numFmtId="0" fontId="114" fillId="11" borderId="1" xfId="0" applyFont="1" applyFill="1" applyBorder="1" applyAlignment="1">
      <alignment horizontal="center"/>
    </xf>
    <xf numFmtId="0" fontId="112" fillId="0" borderId="2" xfId="0" applyFont="1" applyBorder="1" applyAlignment="1">
      <alignment horizontal="left" indent="1"/>
    </xf>
    <xf numFmtId="0" fontId="112" fillId="0" borderId="1" xfId="0" applyFont="1" applyBorder="1" applyAlignment="1">
      <alignment horizontal="left" indent="3"/>
    </xf>
    <xf numFmtId="0" fontId="112" fillId="0" borderId="1" xfId="0" applyFont="1" applyBorder="1" applyAlignment="1">
      <alignment horizontal="left" indent="2"/>
    </xf>
    <xf numFmtId="0" fontId="114" fillId="0" borderId="0" xfId="0" applyFont="1"/>
    <xf numFmtId="3" fontId="113" fillId="0" borderId="0" xfId="0" applyNumberFormat="1" applyFont="1"/>
    <xf numFmtId="0" fontId="112" fillId="0" borderId="1" xfId="0" applyFont="1" applyBorder="1" applyAlignment="1">
      <alignment horizontal="left" indent="1"/>
    </xf>
    <xf numFmtId="0" fontId="112" fillId="0" borderId="1" xfId="0" applyFont="1" applyBorder="1" applyAlignment="1">
      <alignment horizontal="left" vertical="top" wrapText="1" indent="1"/>
    </xf>
    <xf numFmtId="0" fontId="112" fillId="0" borderId="1" xfId="0" applyFont="1" applyBorder="1" applyAlignment="1">
      <alignment horizontal="left" wrapText="1" indent="1"/>
    </xf>
    <xf numFmtId="0" fontId="112" fillId="0" borderId="1" xfId="0" applyFont="1" applyBorder="1" applyAlignment="1">
      <alignment wrapText="1"/>
    </xf>
    <xf numFmtId="0" fontId="112" fillId="0" borderId="1" xfId="0" applyFont="1" applyBorder="1" applyAlignment="1">
      <alignment horizontal="left" indent="4"/>
    </xf>
    <xf numFmtId="0" fontId="112" fillId="0" borderId="10" xfId="0" applyFont="1" applyBorder="1"/>
    <xf numFmtId="0" fontId="112" fillId="0" borderId="7" xfId="0" applyFont="1" applyBorder="1" applyAlignment="1">
      <alignment horizontal="center"/>
    </xf>
    <xf numFmtId="0" fontId="112" fillId="0" borderId="9" xfId="0" applyFont="1" applyBorder="1"/>
    <xf numFmtId="0" fontId="112" fillId="0" borderId="1" xfId="0" applyFont="1" applyBorder="1" applyAlignment="1">
      <alignment horizontal="center"/>
    </xf>
    <xf numFmtId="0" fontId="112" fillId="0" borderId="0" xfId="0" applyFont="1" applyAlignment="1">
      <alignment horizontal="center"/>
    </xf>
    <xf numFmtId="9" fontId="112" fillId="0" borderId="0" xfId="1" applyFont="1" applyBorder="1"/>
    <xf numFmtId="0" fontId="112" fillId="0" borderId="1" xfId="0" applyFont="1" applyBorder="1" applyAlignment="1">
      <alignment horizontal="center" vertical="top" wrapText="1"/>
    </xf>
    <xf numFmtId="9" fontId="112" fillId="0" borderId="1" xfId="0" applyNumberFormat="1" applyFont="1" applyBorder="1" applyAlignment="1">
      <alignment horizontal="center" vertical="top" wrapText="1"/>
    </xf>
    <xf numFmtId="0" fontId="112" fillId="0" borderId="2" xfId="0" applyFont="1" applyBorder="1" applyAlignment="1">
      <alignment horizontal="center"/>
    </xf>
    <xf numFmtId="0" fontId="112" fillId="0" borderId="14" xfId="0" applyFont="1" applyBorder="1" applyAlignment="1">
      <alignment horizontal="center"/>
    </xf>
    <xf numFmtId="1" fontId="112" fillId="0" borderId="1" xfId="1" applyNumberFormat="1" applyFont="1" applyBorder="1"/>
    <xf numFmtId="0" fontId="112" fillId="0" borderId="7" xfId="0" applyFont="1" applyBorder="1" applyAlignment="1">
      <alignment horizontal="center" vertical="top"/>
    </xf>
    <xf numFmtId="0" fontId="112" fillId="26" borderId="1" xfId="0" applyFont="1" applyFill="1" applyBorder="1"/>
    <xf numFmtId="3" fontId="112" fillId="0" borderId="0" xfId="0" applyNumberFormat="1" applyFont="1"/>
    <xf numFmtId="0" fontId="114" fillId="27" borderId="1" xfId="0" applyFont="1" applyFill="1" applyBorder="1" applyAlignment="1">
      <alignment horizontal="center" vertical="top" wrapText="1"/>
    </xf>
    <xf numFmtId="0" fontId="114" fillId="27" borderId="1" xfId="0" applyFont="1" applyFill="1" applyBorder="1" applyAlignment="1">
      <alignment vertical="top" wrapText="1"/>
    </xf>
    <xf numFmtId="0" fontId="114" fillId="0" borderId="1" xfId="0" applyFont="1" applyBorder="1" applyAlignment="1">
      <alignment horizontal="center" vertical="top" wrapText="1"/>
    </xf>
    <xf numFmtId="0" fontId="112" fillId="11" borderId="1" xfId="0" applyFont="1" applyFill="1" applyBorder="1"/>
    <xf numFmtId="3" fontId="112" fillId="11" borderId="1" xfId="0" applyNumberFormat="1" applyFont="1" applyFill="1" applyBorder="1"/>
    <xf numFmtId="9" fontId="112" fillId="0" borderId="1" xfId="0" applyNumberFormat="1" applyFont="1" applyBorder="1"/>
    <xf numFmtId="9" fontId="112" fillId="0" borderId="1" xfId="1" applyFont="1" applyFill="1" applyBorder="1"/>
    <xf numFmtId="9" fontId="112" fillId="0" borderId="2" xfId="0" applyNumberFormat="1" applyFont="1" applyBorder="1"/>
    <xf numFmtId="0" fontId="112" fillId="0" borderId="2" xfId="0" applyFont="1" applyBorder="1" applyAlignment="1">
      <alignment vertical="top" wrapText="1"/>
    </xf>
    <xf numFmtId="3" fontId="112" fillId="0" borderId="1" xfId="0" applyNumberFormat="1" applyFont="1" applyBorder="1" applyAlignment="1">
      <alignment horizontal="center" vertical="top" wrapText="1"/>
    </xf>
    <xf numFmtId="0" fontId="114" fillId="0" borderId="1" xfId="0" applyFont="1" applyBorder="1"/>
    <xf numFmtId="3" fontId="114" fillId="0" borderId="1" xfId="0" applyNumberFormat="1" applyFont="1" applyBorder="1"/>
    <xf numFmtId="0" fontId="112" fillId="27" borderId="1" xfId="0" applyFont="1" applyFill="1" applyBorder="1"/>
    <xf numFmtId="0" fontId="112" fillId="27" borderId="1" xfId="0" applyFont="1" applyFill="1" applyBorder="1" applyAlignment="1">
      <alignment horizontal="center" vertical="top" wrapText="1"/>
    </xf>
    <xf numFmtId="9" fontId="114" fillId="0" borderId="1" xfId="1" applyFont="1" applyBorder="1"/>
    <xf numFmtId="0" fontId="114" fillId="0" borderId="0" xfId="0" applyFont="1" applyAlignment="1">
      <alignment wrapText="1"/>
    </xf>
    <xf numFmtId="0" fontId="114" fillId="0" borderId="1" xfId="0" applyFont="1" applyBorder="1" applyAlignment="1">
      <alignment wrapText="1"/>
    </xf>
    <xf numFmtId="0" fontId="116" fillId="0" borderId="1" xfId="0" applyFont="1" applyBorder="1" applyAlignment="1">
      <alignment wrapText="1"/>
    </xf>
    <xf numFmtId="3" fontId="112" fillId="0" borderId="1" xfId="0" applyNumberFormat="1" applyFont="1" applyBorder="1" applyAlignment="1">
      <alignment wrapText="1"/>
    </xf>
    <xf numFmtId="0" fontId="117" fillId="0" borderId="1" xfId="0" applyFont="1" applyBorder="1" applyAlignment="1">
      <alignment horizontal="left" wrapText="1" indent="1"/>
    </xf>
    <xf numFmtId="3" fontId="112" fillId="0" borderId="1" xfId="0" applyNumberFormat="1" applyFont="1" applyBorder="1" applyAlignment="1">
      <alignment horizontal="left" wrapText="1" indent="1"/>
    </xf>
    <xf numFmtId="0" fontId="118" fillId="0" borderId="1" xfId="0" applyFont="1" applyBorder="1" applyAlignment="1">
      <alignment horizontal="left" wrapText="1" indent="3"/>
    </xf>
    <xf numFmtId="3" fontId="119" fillId="0" borderId="1" xfId="0" applyNumberFormat="1" applyFont="1" applyBorder="1" applyAlignment="1">
      <alignment wrapText="1"/>
    </xf>
    <xf numFmtId="0" fontId="119" fillId="0" borderId="1" xfId="0" applyFont="1" applyBorder="1" applyAlignment="1">
      <alignment horizontal="left" wrapText="1" indent="4"/>
    </xf>
    <xf numFmtId="3" fontId="119" fillId="0" borderId="1" xfId="0" applyNumberFormat="1" applyFont="1" applyBorder="1" applyAlignment="1">
      <alignment horizontal="left" wrapText="1" indent="3"/>
    </xf>
    <xf numFmtId="9" fontId="119" fillId="0" borderId="1" xfId="0" applyNumberFormat="1" applyFont="1" applyBorder="1" applyAlignment="1">
      <alignment horizontal="left" wrapText="1" indent="4"/>
    </xf>
    <xf numFmtId="0" fontId="120" fillId="0" borderId="1" xfId="0" applyFont="1" applyBorder="1" applyAlignment="1">
      <alignment wrapText="1"/>
    </xf>
    <xf numFmtId="0" fontId="112" fillId="0" borderId="1" xfId="0" applyFont="1" applyBorder="1" applyAlignment="1">
      <alignment horizontal="right"/>
    </xf>
    <xf numFmtId="3" fontId="112" fillId="0" borderId="1" xfId="0" applyNumberFormat="1" applyFont="1" applyBorder="1" applyAlignment="1">
      <alignment horizontal="right"/>
    </xf>
    <xf numFmtId="168" fontId="112" fillId="0" borderId="1" xfId="1" applyNumberFormat="1" applyFont="1" applyFill="1" applyBorder="1" applyAlignment="1">
      <alignment wrapText="1"/>
    </xf>
    <xf numFmtId="0" fontId="116" fillId="0" borderId="1" xfId="0" applyFont="1" applyBorder="1" applyAlignment="1">
      <alignment horizontal="left" wrapText="1" indent="1"/>
    </xf>
    <xf numFmtId="3" fontId="116" fillId="0" borderId="1" xfId="0" applyNumberFormat="1" applyFont="1" applyBorder="1" applyAlignment="1">
      <alignment wrapText="1"/>
    </xf>
    <xf numFmtId="9" fontId="112" fillId="0" borderId="1" xfId="1" applyFont="1" applyFill="1" applyBorder="1" applyAlignment="1">
      <alignment wrapText="1"/>
    </xf>
    <xf numFmtId="0" fontId="121" fillId="0" borderId="1" xfId="5" applyFont="1" applyBorder="1"/>
    <xf numFmtId="174" fontId="86" fillId="0" borderId="0" xfId="0" applyNumberFormat="1" applyFont="1"/>
    <xf numFmtId="0" fontId="88" fillId="29" borderId="0" xfId="6" applyFill="1"/>
    <xf numFmtId="0" fontId="94" fillId="29" borderId="0" xfId="5" applyFont="1" applyFill="1"/>
    <xf numFmtId="0" fontId="76" fillId="0" borderId="0" xfId="0" applyFont="1" applyAlignment="1">
      <alignment horizontal="left"/>
    </xf>
    <xf numFmtId="0" fontId="76" fillId="0" borderId="0" xfId="0" applyFont="1" applyAlignment="1">
      <alignment horizontal="center"/>
    </xf>
    <xf numFmtId="0" fontId="50" fillId="0" borderId="0" xfId="0" applyFont="1"/>
    <xf numFmtId="0" fontId="5" fillId="0" borderId="0" xfId="3" applyFont="1"/>
    <xf numFmtId="9" fontId="0" fillId="0" borderId="0" xfId="0" applyNumberFormat="1"/>
    <xf numFmtId="3" fontId="0" fillId="0" borderId="0" xfId="0" applyNumberFormat="1" applyAlignment="1" applyProtection="1">
      <alignment horizontal="center" vertical="center"/>
      <protection locked="0"/>
    </xf>
    <xf numFmtId="0" fontId="122" fillId="0" borderId="2" xfId="0" applyFont="1" applyBorder="1"/>
    <xf numFmtId="0" fontId="122" fillId="0" borderId="1" xfId="0" applyFont="1" applyBorder="1"/>
    <xf numFmtId="3" fontId="112" fillId="25" borderId="1" xfId="0" applyNumberFormat="1" applyFont="1" applyFill="1" applyBorder="1" applyAlignment="1">
      <alignment wrapText="1"/>
    </xf>
    <xf numFmtId="0" fontId="112" fillId="25" borderId="1" xfId="0" applyFont="1" applyFill="1" applyBorder="1"/>
    <xf numFmtId="3" fontId="0" fillId="0" borderId="0" xfId="0" applyNumberFormat="1" applyAlignment="1">
      <alignment vertical="center"/>
    </xf>
    <xf numFmtId="0" fontId="97" fillId="0" borderId="0" xfId="12" applyFont="1"/>
    <xf numFmtId="0" fontId="86" fillId="0" borderId="0" xfId="12" applyFont="1"/>
    <xf numFmtId="0" fontId="0" fillId="0" borderId="1" xfId="0" applyBorder="1" applyAlignment="1">
      <alignment horizontal="center"/>
    </xf>
    <xf numFmtId="0" fontId="86" fillId="0" borderId="1" xfId="12" applyFont="1" applyBorder="1" applyAlignment="1">
      <alignment horizontal="center"/>
    </xf>
    <xf numFmtId="9" fontId="86" fillId="0" borderId="1" xfId="1" applyFont="1" applyBorder="1" applyAlignment="1">
      <alignment horizontal="center"/>
    </xf>
    <xf numFmtId="3" fontId="86" fillId="0" borderId="1" xfId="12" applyNumberFormat="1" applyFont="1" applyBorder="1" applyAlignment="1">
      <alignment horizontal="center"/>
    </xf>
    <xf numFmtId="9" fontId="124" fillId="0" borderId="1" xfId="1" applyFont="1" applyBorder="1"/>
    <xf numFmtId="0" fontId="2" fillId="0" borderId="0" xfId="21"/>
    <xf numFmtId="9" fontId="2" fillId="0" borderId="0" xfId="21" applyNumberFormat="1"/>
    <xf numFmtId="0" fontId="77" fillId="0" borderId="0" xfId="21" applyFont="1" applyAlignment="1">
      <alignment horizontal="right"/>
    </xf>
    <xf numFmtId="0" fontId="77" fillId="0" borderId="0" xfId="21" applyFont="1"/>
    <xf numFmtId="3" fontId="77" fillId="0" borderId="0" xfId="21" applyNumberFormat="1" applyFont="1"/>
    <xf numFmtId="0" fontId="2" fillId="0" borderId="0" xfId="21" applyAlignment="1">
      <alignment wrapText="1"/>
    </xf>
    <xf numFmtId="2" fontId="2" fillId="0" borderId="0" xfId="21" applyNumberFormat="1"/>
    <xf numFmtId="3" fontId="2" fillId="0" borderId="0" xfId="21" applyNumberFormat="1"/>
    <xf numFmtId="3" fontId="13" fillId="0" borderId="3" xfId="0" applyNumberFormat="1" applyFont="1" applyBorder="1" applyAlignment="1" applyProtection="1">
      <alignment horizontal="center" vertical="center" shrinkToFit="1"/>
      <protection locked="0"/>
    </xf>
    <xf numFmtId="3" fontId="119" fillId="25" borderId="1" xfId="0" applyNumberFormat="1" applyFont="1" applyFill="1" applyBorder="1" applyAlignment="1">
      <alignment wrapText="1"/>
    </xf>
    <xf numFmtId="170" fontId="50" fillId="0" borderId="1" xfId="0" applyNumberFormat="1" applyFont="1" applyBorder="1" applyAlignment="1">
      <alignment horizontal="center" vertical="center"/>
    </xf>
    <xf numFmtId="9" fontId="112" fillId="0" borderId="0" xfId="1" applyFont="1"/>
    <xf numFmtId="9" fontId="125" fillId="0" borderId="0" xfId="1" applyFont="1"/>
    <xf numFmtId="0" fontId="50" fillId="0" borderId="1" xfId="0" applyFont="1" applyBorder="1" applyAlignment="1">
      <alignment horizontal="center" vertical="top" wrapText="1"/>
    </xf>
    <xf numFmtId="49" fontId="86" fillId="0" borderId="1" xfId="0" applyNumberFormat="1" applyFont="1" applyBorder="1" applyAlignment="1">
      <alignment horizontal="center"/>
    </xf>
    <xf numFmtId="9" fontId="86" fillId="0" borderId="1" xfId="0" applyNumberFormat="1" applyFont="1" applyBorder="1" applyAlignment="1">
      <alignment horizontal="center"/>
    </xf>
    <xf numFmtId="0" fontId="86" fillId="0" borderId="1" xfId="0" applyFont="1" applyBorder="1" applyAlignment="1">
      <alignment horizontal="left" wrapText="1"/>
    </xf>
    <xf numFmtId="0" fontId="1" fillId="0" borderId="0" xfId="21" applyFont="1"/>
    <xf numFmtId="181" fontId="0" fillId="0" borderId="1" xfId="0" applyNumberFormat="1" applyBorder="1" applyAlignment="1" applyProtection="1">
      <alignment horizontal="center" vertical="center" shrinkToFit="1"/>
      <protection locked="0"/>
    </xf>
    <xf numFmtId="174" fontId="91" fillId="3" borderId="30" xfId="6" applyNumberFormat="1" applyFont="1" applyFill="1" applyBorder="1"/>
    <xf numFmtId="9" fontId="86" fillId="0" borderId="0" xfId="1" applyFont="1"/>
    <xf numFmtId="166" fontId="127" fillId="0" borderId="1" xfId="0" applyNumberFormat="1" applyFont="1" applyBorder="1" applyAlignment="1">
      <alignment horizontal="center" vertical="center" shrinkToFit="1"/>
    </xf>
    <xf numFmtId="166" fontId="50" fillId="0" borderId="1" xfId="0" applyNumberFormat="1" applyFont="1" applyBorder="1" applyAlignment="1">
      <alignment horizontal="center" vertical="center" shrinkToFit="1"/>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54" fillId="0" borderId="1" xfId="0" applyFont="1" applyBorder="1" applyAlignment="1">
      <alignment horizontal="center" vertical="center"/>
    </xf>
    <xf numFmtId="0" fontId="29"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24" fillId="0" borderId="1" xfId="0" applyFont="1" applyBorder="1" applyAlignment="1">
      <alignment horizontal="center" vertical="center"/>
    </xf>
    <xf numFmtId="172" fontId="0" fillId="25" borderId="1" xfId="0" applyNumberFormat="1" applyFill="1" applyBorder="1" applyAlignment="1">
      <alignment horizontal="left" vertical="center" wrapText="1" indent="1"/>
    </xf>
    <xf numFmtId="172" fontId="0" fillId="0" borderId="3" xfId="0" applyNumberFormat="1" applyBorder="1" applyAlignment="1">
      <alignment horizontal="left" vertical="center" wrapText="1" indent="1"/>
    </xf>
    <xf numFmtId="172" fontId="0" fillId="0" borderId="1" xfId="0" applyNumberFormat="1" applyBorder="1" applyAlignment="1">
      <alignment horizontal="left" vertical="center" wrapText="1" indent="1"/>
    </xf>
    <xf numFmtId="0" fontId="14" fillId="25" borderId="1" xfId="0" applyFont="1" applyFill="1" applyBorder="1" applyAlignment="1">
      <alignment horizontal="left" vertical="center" wrapText="1" indent="1"/>
    </xf>
    <xf numFmtId="0" fontId="0" fillId="25" borderId="1" xfId="0" applyFill="1" applyBorder="1" applyAlignment="1">
      <alignment horizontal="left" vertical="center" wrapText="1" indent="1"/>
    </xf>
    <xf numFmtId="0" fontId="58" fillId="25" borderId="1" xfId="2" applyFill="1" applyBorder="1" applyAlignment="1">
      <alignment horizontal="left" vertical="center" wrapText="1" indent="1"/>
    </xf>
    <xf numFmtId="3" fontId="0" fillId="25" borderId="1" xfId="0" applyNumberFormat="1" applyFill="1" applyBorder="1" applyAlignment="1">
      <alignment horizontal="left" vertical="center" wrapText="1" indent="1"/>
    </xf>
    <xf numFmtId="0" fontId="50" fillId="0" borderId="2" xfId="0" applyFont="1" applyBorder="1" applyAlignment="1">
      <alignment horizontal="left" vertical="center" wrapText="1" indent="1"/>
    </xf>
    <xf numFmtId="0" fontId="50" fillId="0" borderId="4" xfId="0" applyFont="1" applyBorder="1" applyAlignment="1">
      <alignment horizontal="left" vertical="center" wrapText="1" inden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4" fillId="0" borderId="2" xfId="0" applyFont="1" applyBorder="1" applyAlignment="1">
      <alignment horizontal="left" vertical="center" wrapText="1" indent="1"/>
    </xf>
    <xf numFmtId="0" fontId="74" fillId="0" borderId="4" xfId="0" applyFont="1" applyBorder="1" applyAlignment="1">
      <alignment horizontal="left" vertical="center" wrapText="1" indent="1"/>
    </xf>
    <xf numFmtId="0" fontId="0" fillId="9" borderId="1" xfId="0" applyFill="1" applyBorder="1" applyAlignment="1">
      <alignment horizontal="center" vertical="center"/>
    </xf>
    <xf numFmtId="0" fontId="13" fillId="10" borderId="2" xfId="0" applyFont="1" applyFill="1" applyBorder="1" applyAlignment="1">
      <alignment horizontal="center" vertical="center"/>
    </xf>
    <xf numFmtId="0" fontId="13" fillId="10" borderId="4" xfId="0" applyFont="1" applyFill="1" applyBorder="1" applyAlignment="1">
      <alignment horizontal="center" vertical="center"/>
    </xf>
    <xf numFmtId="0" fontId="38" fillId="0" borderId="2" xfId="0" applyFont="1" applyBorder="1" applyAlignment="1">
      <alignment horizontal="left" vertical="center" indent="1"/>
    </xf>
    <xf numFmtId="0" fontId="38" fillId="0" borderId="4" xfId="0" applyFont="1" applyBorder="1" applyAlignment="1">
      <alignment horizontal="left" vertical="center" indent="1"/>
    </xf>
    <xf numFmtId="0" fontId="38" fillId="0" borderId="2" xfId="0" applyFont="1" applyBorder="1" applyAlignment="1">
      <alignment horizontal="left" vertical="center" wrapText="1" indent="1"/>
    </xf>
    <xf numFmtId="0" fontId="38" fillId="0" borderId="4" xfId="0" applyFont="1" applyBorder="1" applyAlignment="1">
      <alignment horizontal="left" vertical="center" wrapText="1" indent="1"/>
    </xf>
    <xf numFmtId="0" fontId="38" fillId="0" borderId="1" xfId="0" applyFont="1" applyBorder="1" applyAlignment="1">
      <alignment horizontal="left" vertical="center" wrapText="1" indent="1"/>
    </xf>
    <xf numFmtId="0" fontId="10" fillId="10" borderId="1" xfId="0" applyFont="1" applyFill="1" applyBorder="1" applyAlignment="1">
      <alignment horizontal="left" vertical="center" indent="1"/>
    </xf>
    <xf numFmtId="0" fontId="53" fillId="0" borderId="1" xfId="0" applyFont="1" applyBorder="1" applyAlignment="1">
      <alignment horizontal="right" vertical="center" wrapText="1" indent="1"/>
    </xf>
    <xf numFmtId="0" fontId="40" fillId="0" borderId="10" xfId="0" applyFont="1" applyBorder="1" applyAlignment="1">
      <alignment horizontal="left" vertical="center" indent="1"/>
    </xf>
    <xf numFmtId="0" fontId="19" fillId="0" borderId="1" xfId="0" applyFont="1" applyBorder="1" applyAlignment="1" applyProtection="1">
      <alignment horizontal="left" vertical="center" indent="1"/>
      <protection locked="0"/>
    </xf>
    <xf numFmtId="0" fontId="18" fillId="0" borderId="1" xfId="0" applyFont="1" applyBorder="1" applyAlignment="1" applyProtection="1">
      <alignment horizontal="left" vertical="center" wrapText="1" indent="1"/>
      <protection locked="0"/>
    </xf>
    <xf numFmtId="0" fontId="10" fillId="4" borderId="2" xfId="0" applyFont="1" applyFill="1" applyBorder="1" applyAlignment="1" applyProtection="1">
      <alignment horizontal="left" vertical="center" indent="1"/>
      <protection locked="0"/>
    </xf>
    <xf numFmtId="0" fontId="10" fillId="4" borderId="4" xfId="0" applyFont="1" applyFill="1" applyBorder="1" applyAlignment="1" applyProtection="1">
      <alignment horizontal="left" vertical="center" indent="1"/>
      <protection locked="0"/>
    </xf>
    <xf numFmtId="0" fontId="18" fillId="0" borderId="7" xfId="0" applyFont="1" applyBorder="1" applyAlignment="1" applyProtection="1">
      <alignment horizontal="left" vertical="center" wrapText="1" indent="1"/>
      <protection locked="0"/>
    </xf>
    <xf numFmtId="0" fontId="18" fillId="0" borderId="8" xfId="0" applyFont="1" applyBorder="1" applyAlignment="1" applyProtection="1">
      <alignment horizontal="left" vertical="center" wrapText="1" indent="1"/>
      <protection locked="0"/>
    </xf>
    <xf numFmtId="0" fontId="18" fillId="0" borderId="9" xfId="0" applyFont="1" applyBorder="1" applyAlignment="1" applyProtection="1">
      <alignment horizontal="left" vertical="center" wrapText="1" indent="1"/>
      <protection locked="0"/>
    </xf>
    <xf numFmtId="0" fontId="13" fillId="0" borderId="2"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4" borderId="2"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protection locked="0"/>
    </xf>
    <xf numFmtId="0" fontId="19" fillId="0" borderId="1" xfId="0" applyFont="1" applyBorder="1" applyAlignment="1" applyProtection="1">
      <alignment horizontal="left" vertical="center" indent="2"/>
      <protection locked="0"/>
    </xf>
    <xf numFmtId="0" fontId="18" fillId="3" borderId="1" xfId="0" applyFont="1" applyFill="1" applyBorder="1" applyAlignment="1" applyProtection="1">
      <alignment horizontal="left" vertical="center" wrapText="1" indent="1"/>
      <protection locked="0"/>
    </xf>
    <xf numFmtId="0" fontId="18" fillId="0" borderId="2" xfId="0" applyFont="1" applyBorder="1" applyAlignment="1" applyProtection="1">
      <alignment horizontal="left" vertical="center" wrapText="1" indent="1"/>
      <protection locked="0"/>
    </xf>
    <xf numFmtId="0" fontId="19" fillId="0" borderId="4" xfId="0" applyFont="1" applyBorder="1" applyAlignment="1" applyProtection="1">
      <alignment horizontal="left" vertical="center" wrapText="1" indent="1"/>
      <protection locked="0"/>
    </xf>
    <xf numFmtId="0" fontId="13" fillId="4" borderId="2" xfId="0" applyFont="1" applyFill="1" applyBorder="1" applyAlignment="1" applyProtection="1">
      <alignment horizontal="center" vertical="center" shrinkToFit="1"/>
      <protection locked="0"/>
    </xf>
    <xf numFmtId="0" fontId="13" fillId="4" borderId="4" xfId="0" applyFont="1" applyFill="1" applyBorder="1" applyAlignment="1" applyProtection="1">
      <alignment horizontal="center" vertical="center" shrinkToFit="1"/>
      <protection locked="0"/>
    </xf>
    <xf numFmtId="0" fontId="23" fillId="0" borderId="1" xfId="0" applyFont="1" applyBorder="1" applyAlignment="1" applyProtection="1">
      <alignment horizontal="left" vertical="center" indent="1"/>
      <protection locked="0"/>
    </xf>
    <xf numFmtId="0" fontId="10" fillId="6" borderId="2" xfId="0" applyFont="1" applyFill="1" applyBorder="1" applyAlignment="1" applyProtection="1">
      <alignment horizontal="left" vertical="center" indent="1"/>
      <protection locked="0"/>
    </xf>
    <xf numFmtId="0" fontId="10" fillId="6" borderId="4" xfId="0" applyFont="1" applyFill="1" applyBorder="1" applyAlignment="1" applyProtection="1">
      <alignment horizontal="left" vertical="center" indent="1"/>
      <protection locked="0"/>
    </xf>
    <xf numFmtId="0" fontId="13" fillId="6" borderId="2" xfId="0" applyFont="1" applyFill="1" applyBorder="1" applyAlignment="1" applyProtection="1">
      <alignment horizontal="center" vertical="center"/>
      <protection locked="0"/>
    </xf>
    <xf numFmtId="0" fontId="13" fillId="6" borderId="4" xfId="0" applyFont="1" applyFill="1" applyBorder="1" applyAlignment="1" applyProtection="1">
      <alignment horizontal="center" vertical="center"/>
      <protection locked="0"/>
    </xf>
    <xf numFmtId="0" fontId="27" fillId="0" borderId="2" xfId="0" applyFont="1" applyBorder="1" applyAlignment="1" applyProtection="1">
      <alignment horizontal="left" vertical="center" wrapText="1" indent="1"/>
      <protection locked="0"/>
    </xf>
    <xf numFmtId="0" fontId="23" fillId="0" borderId="4" xfId="0" applyFont="1" applyBorder="1" applyAlignment="1" applyProtection="1">
      <alignment horizontal="left" vertical="center" wrapText="1" indent="1"/>
      <protection locked="0"/>
    </xf>
    <xf numFmtId="0" fontId="13" fillId="6" borderId="2" xfId="0" applyFont="1" applyFill="1" applyBorder="1" applyAlignment="1" applyProtection="1">
      <alignment horizontal="center" vertical="center" shrinkToFit="1"/>
      <protection locked="0"/>
    </xf>
    <xf numFmtId="0" fontId="13" fillId="6" borderId="4" xfId="0" applyFont="1" applyFill="1" applyBorder="1" applyAlignment="1" applyProtection="1">
      <alignment horizontal="center" vertical="center" shrinkToFit="1"/>
      <protection locked="0"/>
    </xf>
    <xf numFmtId="0" fontId="27" fillId="0" borderId="1" xfId="0" applyFont="1" applyBorder="1" applyAlignment="1" applyProtection="1">
      <alignment horizontal="left" vertical="center" wrapText="1" indent="1"/>
      <protection locked="0"/>
    </xf>
    <xf numFmtId="0" fontId="27" fillId="0" borderId="7" xfId="0" applyFont="1" applyBorder="1" applyAlignment="1" applyProtection="1">
      <alignment horizontal="left" vertical="center" wrapText="1" indent="1"/>
      <protection locked="0"/>
    </xf>
    <xf numFmtId="0" fontId="27" fillId="0" borderId="8" xfId="0" applyFont="1" applyBorder="1" applyAlignment="1" applyProtection="1">
      <alignment horizontal="left" vertical="center" wrapText="1" indent="1"/>
      <protection locked="0"/>
    </xf>
    <xf numFmtId="0" fontId="27" fillId="0" borderId="9" xfId="0" applyFont="1" applyBorder="1" applyAlignment="1" applyProtection="1">
      <alignment horizontal="left" vertical="center" wrapText="1" indent="1"/>
      <protection locked="0"/>
    </xf>
    <xf numFmtId="0" fontId="30" fillId="0" borderId="1" xfId="0" applyFont="1" applyBorder="1" applyAlignment="1">
      <alignment horizontal="left" vertical="center" indent="1"/>
    </xf>
    <xf numFmtId="0" fontId="10" fillId="7" borderId="2" xfId="0" applyFont="1" applyFill="1" applyBorder="1" applyAlignment="1">
      <alignment horizontal="left" vertical="center" indent="1"/>
    </xf>
    <xf numFmtId="0" fontId="10" fillId="7" borderId="4" xfId="0" applyFont="1" applyFill="1" applyBorder="1" applyAlignment="1">
      <alignment horizontal="left" vertical="center" indent="1"/>
    </xf>
    <xf numFmtId="0" fontId="13" fillId="7" borderId="2" xfId="0" applyFont="1" applyFill="1" applyBorder="1" applyAlignment="1">
      <alignment horizontal="center" vertical="center"/>
    </xf>
    <xf numFmtId="0" fontId="13" fillId="7"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33" fillId="0" borderId="2" xfId="0" applyFont="1" applyBorder="1" applyAlignment="1">
      <alignment horizontal="left" vertical="center" wrapText="1" indent="1"/>
    </xf>
    <xf numFmtId="0" fontId="30" fillId="0" borderId="4" xfId="0" applyFont="1" applyBorder="1" applyAlignment="1">
      <alignment horizontal="left" vertical="center" wrapText="1" indent="1"/>
    </xf>
    <xf numFmtId="0" fontId="13" fillId="7" borderId="2" xfId="0" applyFont="1" applyFill="1" applyBorder="1" applyAlignment="1">
      <alignment horizontal="center" vertical="center" shrinkToFit="1"/>
    </xf>
    <xf numFmtId="0" fontId="13" fillId="7" borderId="4" xfId="0" applyFont="1" applyFill="1" applyBorder="1" applyAlignment="1">
      <alignment horizontal="center" vertical="center" shrinkToFit="1"/>
    </xf>
    <xf numFmtId="0" fontId="33" fillId="0" borderId="1" xfId="0" applyFont="1" applyBorder="1" applyAlignment="1">
      <alignment horizontal="left" vertical="center" wrapText="1" indent="1"/>
    </xf>
    <xf numFmtId="0" fontId="33" fillId="0" borderId="7" xfId="0" applyFont="1" applyBorder="1" applyAlignment="1">
      <alignment horizontal="left" vertical="center" wrapText="1" indent="1"/>
    </xf>
    <xf numFmtId="0" fontId="33" fillId="0" borderId="8" xfId="0" applyFont="1" applyBorder="1" applyAlignment="1">
      <alignment horizontal="left" vertical="center" wrapText="1" indent="1"/>
    </xf>
    <xf numFmtId="0" fontId="33" fillId="0" borderId="9" xfId="0" applyFont="1" applyBorder="1" applyAlignment="1">
      <alignment horizontal="left" vertical="center" wrapText="1" indent="1"/>
    </xf>
    <xf numFmtId="0" fontId="0" fillId="0" borderId="1" xfId="0" applyBorder="1" applyAlignment="1">
      <alignment horizontal="left" vertical="center" indent="1"/>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indent="1"/>
    </xf>
    <xf numFmtId="165" fontId="0" fillId="22" borderId="1" xfId="0" applyNumberFormat="1" applyFill="1" applyBorder="1" applyAlignment="1">
      <alignment horizontal="center" vertical="center"/>
    </xf>
    <xf numFmtId="0" fontId="0" fillId="22" borderId="1" xfId="0" applyFill="1" applyBorder="1" applyAlignment="1">
      <alignment horizontal="center" vertical="center"/>
    </xf>
    <xf numFmtId="0" fontId="0" fillId="10" borderId="0" xfId="0" applyFill="1" applyAlignment="1">
      <alignment horizontal="center" vertical="center"/>
    </xf>
    <xf numFmtId="0" fontId="0" fillId="23" borderId="0" xfId="0" applyFill="1" applyAlignment="1">
      <alignment horizontal="left" vertical="center" indent="1"/>
    </xf>
    <xf numFmtId="167" fontId="14" fillId="22" borderId="2" xfId="0" applyNumberFormat="1" applyFont="1" applyFill="1" applyBorder="1" applyAlignment="1">
      <alignment horizontal="center" vertical="center"/>
    </xf>
    <xf numFmtId="167" fontId="14" fillId="22" borderId="3" xfId="0" applyNumberFormat="1" applyFont="1" applyFill="1" applyBorder="1" applyAlignment="1">
      <alignment horizontal="center" vertical="center"/>
    </xf>
    <xf numFmtId="167" fontId="14" fillId="22" borderId="4" xfId="0" applyNumberFormat="1" applyFont="1" applyFill="1" applyBorder="1" applyAlignment="1">
      <alignment horizontal="center" vertical="center"/>
    </xf>
    <xf numFmtId="0" fontId="70" fillId="22" borderId="2" xfId="0" applyFont="1" applyFill="1" applyBorder="1" applyAlignment="1">
      <alignment horizontal="center" vertical="center"/>
    </xf>
    <xf numFmtId="0" fontId="70" fillId="22" borderId="3" xfId="0" applyFont="1" applyFill="1" applyBorder="1" applyAlignment="1">
      <alignment horizontal="center" vertical="center"/>
    </xf>
    <xf numFmtId="0" fontId="70" fillId="22" borderId="4" xfId="0" applyFont="1" applyFill="1" applyBorder="1" applyAlignment="1">
      <alignment horizontal="center" vertical="center"/>
    </xf>
    <xf numFmtId="9" fontId="0" fillId="22" borderId="1" xfId="0" applyNumberFormat="1" applyFill="1" applyBorder="1" applyAlignment="1">
      <alignment horizontal="center" vertical="center"/>
    </xf>
    <xf numFmtId="0" fontId="89" fillId="0" borderId="1" xfId="6" applyFont="1" applyBorder="1" applyAlignment="1">
      <alignment horizontal="center"/>
    </xf>
    <xf numFmtId="0" fontId="93" fillId="29" borderId="2" xfId="5" applyFont="1" applyFill="1" applyBorder="1" applyAlignment="1">
      <alignment horizontal="center" wrapText="1"/>
    </xf>
    <xf numFmtId="0" fontId="93" fillId="29" borderId="4" xfId="5" applyFont="1" applyFill="1" applyBorder="1" applyAlignment="1">
      <alignment horizontal="center" wrapText="1"/>
    </xf>
    <xf numFmtId="0" fontId="91" fillId="29" borderId="18" xfId="5" applyFont="1" applyFill="1" applyBorder="1" applyAlignment="1">
      <alignment horizontal="center" vertical="top"/>
    </xf>
    <xf numFmtId="0" fontId="91" fillId="29" borderId="19" xfId="5" applyFont="1" applyFill="1" applyBorder="1" applyAlignment="1">
      <alignment horizontal="center" vertical="top"/>
    </xf>
    <xf numFmtId="0" fontId="91" fillId="29" borderId="22" xfId="5" applyFont="1" applyFill="1" applyBorder="1" applyAlignment="1">
      <alignment horizontal="center" vertical="top"/>
    </xf>
    <xf numFmtId="0" fontId="91" fillId="29" borderId="23" xfId="5" applyFont="1" applyFill="1" applyBorder="1" applyAlignment="1">
      <alignment horizontal="center" vertical="top"/>
    </xf>
    <xf numFmtId="0" fontId="91" fillId="29" borderId="20" xfId="6" applyFont="1" applyFill="1" applyBorder="1" applyAlignment="1">
      <alignment horizontal="center" vertical="top" wrapText="1"/>
    </xf>
    <xf numFmtId="0" fontId="91" fillId="29" borderId="21" xfId="6" applyFont="1" applyFill="1" applyBorder="1" applyAlignment="1">
      <alignment horizontal="center" vertical="top" wrapText="1"/>
    </xf>
    <xf numFmtId="0" fontId="91" fillId="30" borderId="0" xfId="6" applyFont="1" applyFill="1" applyAlignment="1">
      <alignment horizontal="center"/>
    </xf>
    <xf numFmtId="0" fontId="87" fillId="0" borderId="0" xfId="5" applyFont="1" applyAlignment="1">
      <alignment horizontal="center"/>
    </xf>
    <xf numFmtId="0" fontId="91" fillId="29" borderId="46" xfId="5" applyFont="1" applyFill="1" applyBorder="1" applyAlignment="1">
      <alignment horizontal="center"/>
    </xf>
    <xf numFmtId="0" fontId="91" fillId="29" borderId="21" xfId="5" applyFont="1" applyFill="1" applyBorder="1" applyAlignment="1">
      <alignment horizontal="center"/>
    </xf>
    <xf numFmtId="0" fontId="91" fillId="3" borderId="25" xfId="6" applyFont="1" applyFill="1" applyBorder="1" applyAlignment="1">
      <alignment horizontal="left" wrapText="1" indent="2"/>
    </xf>
    <xf numFmtId="0" fontId="91" fillId="3" borderId="26" xfId="6" applyFont="1" applyFill="1" applyBorder="1" applyAlignment="1">
      <alignment horizontal="left" wrapText="1" indent="2"/>
    </xf>
    <xf numFmtId="0" fontId="91" fillId="3" borderId="29" xfId="6" applyFont="1" applyFill="1" applyBorder="1" applyAlignment="1">
      <alignment horizontal="left" wrapText="1" indent="2"/>
    </xf>
    <xf numFmtId="0" fontId="91" fillId="3" borderId="4" xfId="6" applyFont="1" applyFill="1" applyBorder="1" applyAlignment="1">
      <alignment horizontal="left" wrapText="1" indent="2"/>
    </xf>
    <xf numFmtId="0" fontId="91" fillId="3" borderId="32" xfId="6" applyFont="1" applyFill="1" applyBorder="1" applyAlignment="1">
      <alignment horizontal="left" wrapText="1" indent="2"/>
    </xf>
    <xf numFmtId="0" fontId="91" fillId="3" borderId="33" xfId="6" applyFont="1" applyFill="1" applyBorder="1" applyAlignment="1">
      <alignment horizontal="left" wrapText="1" indent="2"/>
    </xf>
    <xf numFmtId="0" fontId="87" fillId="0" borderId="24" xfId="5" applyFont="1" applyBorder="1" applyAlignment="1">
      <alignment horizontal="center"/>
    </xf>
    <xf numFmtId="0" fontId="87" fillId="0" borderId="21" xfId="5" applyFont="1" applyBorder="1" applyAlignment="1">
      <alignment horizontal="center"/>
    </xf>
    <xf numFmtId="0" fontId="86" fillId="0" borderId="1" xfId="10" applyFont="1" applyBorder="1" applyAlignment="1">
      <alignment horizontal="center"/>
    </xf>
    <xf numFmtId="0" fontId="0" fillId="0" borderId="0" xfId="0" applyAlignment="1">
      <alignment horizontal="left" vertical="center" wrapText="1" indent="1"/>
    </xf>
    <xf numFmtId="0" fontId="0" fillId="0" borderId="0" xfId="0" applyAlignment="1">
      <alignment horizontal="center"/>
    </xf>
    <xf numFmtId="0" fontId="0" fillId="0" borderId="5" xfId="0"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86" fillId="0" borderId="1" xfId="0" applyFont="1" applyBorder="1" applyAlignment="1">
      <alignment horizontal="center" wrapText="1"/>
    </xf>
    <xf numFmtId="0" fontId="86" fillId="0" borderId="1" xfId="12" applyFont="1" applyBorder="1" applyAlignment="1">
      <alignment horizontal="left"/>
    </xf>
    <xf numFmtId="0" fontId="123" fillId="0" borderId="1" xfId="12" applyFont="1" applyBorder="1" applyAlignment="1">
      <alignment horizontal="center"/>
    </xf>
    <xf numFmtId="0" fontId="112" fillId="0" borderId="7" xfId="0" applyFont="1" applyBorder="1" applyAlignment="1">
      <alignment horizontal="center" vertical="top" wrapText="1"/>
    </xf>
    <xf numFmtId="0" fontId="112" fillId="0" borderId="9" xfId="0" applyFont="1" applyBorder="1" applyAlignment="1">
      <alignment horizontal="center" vertical="top" wrapText="1"/>
    </xf>
    <xf numFmtId="0" fontId="112" fillId="0" borderId="11" xfId="0" applyFont="1" applyBorder="1" applyAlignment="1">
      <alignment horizontal="center" vertical="top" wrapText="1"/>
    </xf>
    <xf numFmtId="0" fontId="112" fillId="0" borderId="14" xfId="0" applyFont="1" applyBorder="1" applyAlignment="1">
      <alignment horizontal="center" vertical="top" wrapText="1"/>
    </xf>
    <xf numFmtId="0" fontId="112" fillId="0" borderId="1" xfId="0" applyFont="1" applyBorder="1" applyAlignment="1">
      <alignment horizontal="center" vertical="top" wrapText="1"/>
    </xf>
    <xf numFmtId="9" fontId="112" fillId="0" borderId="7" xfId="0" applyNumberFormat="1" applyFont="1" applyBorder="1" applyAlignment="1">
      <alignment horizontal="center" vertical="top" wrapText="1"/>
    </xf>
    <xf numFmtId="9" fontId="112" fillId="0" borderId="9" xfId="0" applyNumberFormat="1" applyFont="1" applyBorder="1" applyAlignment="1">
      <alignment horizontal="center" vertical="top" wrapText="1"/>
    </xf>
    <xf numFmtId="3" fontId="102" fillId="0" borderId="1" xfId="0" applyNumberFormat="1" applyFont="1" applyBorder="1" applyAlignment="1">
      <alignment horizontal="center" vertical="center" wrapText="1"/>
    </xf>
    <xf numFmtId="9" fontId="102" fillId="0" borderId="1" xfId="1" applyFont="1" applyBorder="1" applyAlignment="1">
      <alignment horizontal="center" vertical="center" wrapText="1"/>
    </xf>
    <xf numFmtId="0" fontId="102" fillId="0" borderId="1" xfId="0" applyFont="1" applyBorder="1" applyAlignment="1">
      <alignment horizontal="left" vertical="center" wrapText="1"/>
    </xf>
    <xf numFmtId="0" fontId="86" fillId="0" borderId="1" xfId="0" applyFont="1" applyBorder="1" applyAlignment="1">
      <alignment horizontal="center"/>
    </xf>
    <xf numFmtId="0" fontId="102" fillId="0" borderId="47" xfId="0" applyFont="1" applyBorder="1" applyAlignment="1">
      <alignment horizontal="center" vertical="center" wrapText="1"/>
    </xf>
    <xf numFmtId="0" fontId="102" fillId="0" borderId="0" xfId="0" applyFont="1" applyAlignment="1">
      <alignment horizontal="center" vertical="center" wrapText="1"/>
    </xf>
    <xf numFmtId="0" fontId="91" fillId="0" borderId="1" xfId="0" applyFont="1" applyBorder="1" applyAlignment="1">
      <alignment horizontal="left" vertical="center" wrapText="1"/>
    </xf>
    <xf numFmtId="1" fontId="91" fillId="0" borderId="2" xfId="0" applyNumberFormat="1" applyFont="1" applyBorder="1" applyAlignment="1">
      <alignment horizontal="center" vertical="center" wrapText="1"/>
    </xf>
    <xf numFmtId="1" fontId="91" fillId="0" borderId="4" xfId="0" applyNumberFormat="1" applyFont="1" applyBorder="1" applyAlignment="1">
      <alignment horizontal="center" vertical="center" wrapText="1"/>
    </xf>
    <xf numFmtId="0" fontId="91" fillId="0" borderId="1" xfId="0" applyFont="1" applyBorder="1" applyAlignment="1">
      <alignment horizontal="left" vertical="center" wrapText="1" indent="2"/>
    </xf>
    <xf numFmtId="2" fontId="91" fillId="0" borderId="2" xfId="0" applyNumberFormat="1" applyFont="1" applyBorder="1" applyAlignment="1">
      <alignment horizontal="center" vertical="center" wrapText="1"/>
    </xf>
    <xf numFmtId="2" fontId="91" fillId="0" borderId="4" xfId="0" applyNumberFormat="1" applyFont="1" applyBorder="1" applyAlignment="1">
      <alignment horizontal="center" vertical="center" wrapText="1"/>
    </xf>
    <xf numFmtId="3" fontId="91" fillId="0" borderId="2" xfId="0" applyNumberFormat="1" applyFont="1" applyBorder="1" applyAlignment="1">
      <alignment horizontal="center" vertical="center" wrapText="1"/>
    </xf>
    <xf numFmtId="3" fontId="91" fillId="0" borderId="4" xfId="0" applyNumberFormat="1" applyFont="1" applyBorder="1" applyAlignment="1">
      <alignment horizontal="center" vertical="center" wrapText="1"/>
    </xf>
    <xf numFmtId="0" fontId="91" fillId="0" borderId="2" xfId="0" applyFont="1" applyBorder="1" applyAlignment="1">
      <alignment horizontal="center" vertical="center" wrapText="1"/>
    </xf>
    <xf numFmtId="0" fontId="91" fillId="0" borderId="4" xfId="0" applyFont="1" applyBorder="1" applyAlignment="1">
      <alignment horizontal="center" vertical="center" wrapText="1"/>
    </xf>
    <xf numFmtId="0" fontId="93" fillId="0" borderId="1" xfId="0" applyFont="1" applyBorder="1" applyAlignment="1">
      <alignment horizontal="center" wrapText="1"/>
    </xf>
    <xf numFmtId="0" fontId="86" fillId="3" borderId="1" xfId="0" applyFont="1" applyFill="1" applyBorder="1" applyAlignment="1">
      <alignment horizontal="center" vertical="center"/>
    </xf>
    <xf numFmtId="0" fontId="128" fillId="0" borderId="0" xfId="0" applyFont="1" applyAlignment="1" applyProtection="1">
      <alignment horizontal="center" vertical="center" shrinkToFit="1"/>
      <protection locked="0"/>
    </xf>
  </cellXfs>
  <cellStyles count="22">
    <cellStyle name="Hüperlink" xfId="2" builtinId="8"/>
    <cellStyle name="Normaallaad" xfId="0" builtinId="0"/>
    <cellStyle name="Protsent" xfId="1" builtinId="5"/>
    <cellStyle name="Обычный 2" xfId="3" xr:uid="{00000000-0005-0000-0000-000003000000}"/>
    <cellStyle name="Обычный 2 2" xfId="6" xr:uid="{00000000-0005-0000-0000-000004000000}"/>
    <cellStyle name="Обычный 2 3" xfId="13" xr:uid="{00000000-0005-0000-0000-000005000000}"/>
    <cellStyle name="Обычный 2 4" xfId="21" xr:uid="{00000000-0005-0000-0000-000006000000}"/>
    <cellStyle name="Обычный 3" xfId="8" xr:uid="{00000000-0005-0000-0000-000007000000}"/>
    <cellStyle name="Обычный 3 2" xfId="16" xr:uid="{00000000-0005-0000-0000-000008000000}"/>
    <cellStyle name="Обычный 4" xfId="10" xr:uid="{00000000-0005-0000-0000-000009000000}"/>
    <cellStyle name="Обычный 4 2" xfId="18" xr:uid="{00000000-0005-0000-0000-00000A000000}"/>
    <cellStyle name="Обычный 6 2" xfId="5" xr:uid="{00000000-0005-0000-0000-00000B000000}"/>
    <cellStyle name="Обычный 6 2 2" xfId="11" xr:uid="{00000000-0005-0000-0000-00000C000000}"/>
    <cellStyle name="Обычный 6 2 2 2" xfId="19" xr:uid="{00000000-0005-0000-0000-00000D000000}"/>
    <cellStyle name="Обычный 6 2 3" xfId="15" xr:uid="{00000000-0005-0000-0000-00000E000000}"/>
    <cellStyle name="Обычный 7" xfId="12" xr:uid="{00000000-0005-0000-0000-00000F000000}"/>
    <cellStyle name="Обычный 7 2" xfId="20" xr:uid="{00000000-0005-0000-0000-000010000000}"/>
    <cellStyle name="Процентный 2" xfId="4" xr:uid="{00000000-0005-0000-0000-000011000000}"/>
    <cellStyle name="Процентный 2 2" xfId="7" xr:uid="{00000000-0005-0000-0000-000012000000}"/>
    <cellStyle name="Процентный 2 3" xfId="14" xr:uid="{00000000-0005-0000-0000-000013000000}"/>
    <cellStyle name="Процентный 3" xfId="9" xr:uid="{00000000-0005-0000-0000-000014000000}"/>
    <cellStyle name="Процентный 3 2" xfId="17" xr:uid="{00000000-0005-0000-0000-000015000000}"/>
  </cellStyles>
  <dxfs count="4">
    <dxf>
      <font>
        <color theme="0"/>
      </font>
    </dxf>
    <dxf>
      <font>
        <color theme="0"/>
      </font>
    </dxf>
    <dxf>
      <font>
        <color theme="0"/>
      </font>
    </dxf>
    <dxf>
      <font>
        <color theme="0"/>
      </font>
    </dxf>
  </dxfs>
  <tableStyles count="0" defaultTableStyle="TableStyleMedium2" defaultPivotStyle="PivotStyleLight16"/>
  <colors>
    <mruColors>
      <color rgb="FFCC6600"/>
      <color rgb="FF0000FF"/>
      <color rgb="FFA6C0F4"/>
      <color rgb="FF000099"/>
      <color rgb="FF008000"/>
      <color rgb="FFFFFF66"/>
      <color rgb="FFFFFF99"/>
      <color rgb="FFA0F692"/>
      <color rgb="FF7030A0"/>
      <color rgb="FFFFD6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16</xdr:col>
      <xdr:colOff>228600</xdr:colOff>
      <xdr:row>10</xdr:row>
      <xdr:rowOff>419099</xdr:rowOff>
    </xdr:from>
    <xdr:to>
      <xdr:col>16</xdr:col>
      <xdr:colOff>581025</xdr:colOff>
      <xdr:row>11</xdr:row>
      <xdr:rowOff>495299</xdr:rowOff>
    </xdr:to>
    <xdr:sp macro="" textlink="">
      <xdr:nvSpPr>
        <xdr:cNvPr id="2" name="Bent Arrow 1">
          <a:extLst>
            <a:ext uri="{FF2B5EF4-FFF2-40B4-BE49-F238E27FC236}">
              <a16:creationId xmlns:a16="http://schemas.microsoft.com/office/drawing/2014/main" id="{00000000-0008-0000-0900-000002000000}"/>
            </a:ext>
          </a:extLst>
        </xdr:cNvPr>
        <xdr:cNvSpPr/>
      </xdr:nvSpPr>
      <xdr:spPr>
        <a:xfrm flipV="1">
          <a:off x="9915525" y="2647949"/>
          <a:ext cx="352425" cy="581025"/>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VIA\&#1055;&#1080;&#1083;&#1086;&#1090;&#1085;&#1099;&#1077;%20&#1088;&#1072;&#1079;&#1088;&#1072;&#1073;&#1086;&#1090;&#1082;&#1080;\Johvi%20Inkubaator\TTA\Inkubatsiooni%20keskus\Taotlus\Tuguteenused%20finatsal&#252;&#252;s%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VIA\&#1055;&#1080;&#1083;&#1086;&#1090;&#1085;&#1099;&#1077;%20&#1088;&#1072;&#1079;&#1088;&#1072;&#1073;&#1086;&#1090;&#1082;&#1080;\Johvi%20Inkubaator\TTA\Inkubatsiooni%20keskus\Taotlus\Tuguteenused%20finatsal&#252;&#252;s%2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hend"/>
      <sheetName val="Esileht"/>
      <sheetName val="1. Projekti elluviimise kulud"/>
      <sheetName val="2. Tulud-kulud projektiga"/>
      <sheetName val="3. Tulud-kulud projektita"/>
      <sheetName val="4. Lisanduvad tulud-kulud"/>
      <sheetName val="7. Tasuvus"/>
      <sheetName val="5. Abikõlblik kulu"/>
      <sheetName val="6. Rahavood"/>
      <sheetName val="8. Jääkväärtus"/>
      <sheetName val="Maksumäärad"/>
      <sheetName val="Arvestusperioodid"/>
      <sheetName val="Ruumid"/>
      <sheetName val="Eeldused 25"/>
      <sheetName val="Tulud 25"/>
      <sheetName val="Kulud 25"/>
      <sheetName val="Tegevuseelarve"/>
      <sheetName val="Sots.majanduslik moju"/>
      <sheetName val="Asendusinvesteeringud"/>
      <sheetName val="Eeldused SotsMajand. moju"/>
      <sheetName val="Link tabel"/>
    </sheetNames>
    <sheetDataSet>
      <sheetData sheetId="0"/>
      <sheetData sheetId="1"/>
      <sheetData sheetId="2">
        <row r="8">
          <cell r="J8">
            <v>3635755</v>
          </cell>
        </row>
      </sheetData>
      <sheetData sheetId="3"/>
      <sheetData sheetId="4"/>
      <sheetData sheetId="5"/>
      <sheetData sheetId="6"/>
      <sheetData sheetId="7">
        <row r="13">
          <cell r="D13">
            <v>0</v>
          </cell>
        </row>
      </sheetData>
      <sheetData sheetId="8"/>
      <sheetData sheetId="9"/>
      <sheetData sheetId="10"/>
      <sheetData sheetId="11"/>
      <sheetData sheetId="12">
        <row r="36">
          <cell r="B36">
            <v>6485.2000000000007</v>
          </cell>
        </row>
      </sheetData>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hend"/>
      <sheetName val="Esileht"/>
      <sheetName val="1. Projekti elluviimise kulud"/>
      <sheetName val="2. Tulud-kulud projektiga"/>
      <sheetName val="3. Tulud-kulud projektita"/>
      <sheetName val="4. Lisanduvad tulud-kulud"/>
      <sheetName val="7. Tasuvus"/>
      <sheetName val="5. Abikõlblik kulu"/>
      <sheetName val="6. Rahavood"/>
      <sheetName val="8. Jääkväärtus"/>
      <sheetName val="Maksumäärad"/>
      <sheetName val="Arvestusperioodid"/>
      <sheetName val="Ruumid"/>
      <sheetName val="Eeldused 75"/>
      <sheetName val="Tulud 75"/>
      <sheetName val="Kulud 75"/>
      <sheetName val="Tegevuseelarve"/>
      <sheetName val="Sots.majanduslik moju"/>
      <sheetName val="Asendusinvesteeringud"/>
      <sheetName val="Eeldused SotsMajand. moju"/>
      <sheetName val="Link tabel"/>
    </sheetNames>
    <sheetDataSet>
      <sheetData sheetId="0"/>
      <sheetData sheetId="1"/>
      <sheetData sheetId="2">
        <row r="8">
          <cell r="J8">
            <v>3635755</v>
          </cell>
        </row>
      </sheetData>
      <sheetData sheetId="3"/>
      <sheetData sheetId="4"/>
      <sheetData sheetId="5"/>
      <sheetData sheetId="6"/>
      <sheetData sheetId="7">
        <row r="13">
          <cell r="D13">
            <v>0</v>
          </cell>
        </row>
      </sheetData>
      <sheetData sheetId="8"/>
      <sheetData sheetId="9"/>
      <sheetData sheetId="10"/>
      <sheetData sheetId="11"/>
      <sheetData sheetId="12">
        <row r="36">
          <cell r="B36">
            <v>6485.2000000000007</v>
          </cell>
        </row>
      </sheetData>
      <sheetData sheetId="13"/>
      <sheetData sheetId="14"/>
      <sheetData sheetId="15"/>
      <sheetData sheetId="16"/>
      <sheetData sheetId="17"/>
      <sheetData sheetId="18"/>
      <sheetData sheetId="19"/>
      <sheetData sheetId="2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eet.kuusmik@ivia.ee"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D44"/>
  <sheetViews>
    <sheetView workbookViewId="0"/>
  </sheetViews>
  <sheetFormatPr defaultColWidth="9.1796875" defaultRowHeight="14.5" x14ac:dyDescent="0.35"/>
  <cols>
    <col min="1" max="1" width="14.453125" style="102" customWidth="1"/>
    <col min="2" max="2" width="71.81640625" style="105" customWidth="1"/>
    <col min="3" max="3" width="4.26953125" style="70" customWidth="1"/>
    <col min="4" max="16384" width="9.1796875" style="70"/>
  </cols>
  <sheetData>
    <row r="1" spans="1:2" ht="23.25" customHeight="1" x14ac:dyDescent="0.35">
      <c r="A1" s="125" t="s">
        <v>167</v>
      </c>
    </row>
    <row r="2" spans="1:2" ht="9" customHeight="1" x14ac:dyDescent="0.35"/>
    <row r="3" spans="1:2" ht="43.5" customHeight="1" x14ac:dyDescent="0.35">
      <c r="A3" s="737" t="s">
        <v>166</v>
      </c>
      <c r="B3" s="362" t="s">
        <v>238</v>
      </c>
    </row>
    <row r="4" spans="1:2" ht="54" customHeight="1" x14ac:dyDescent="0.35">
      <c r="A4" s="738"/>
      <c r="B4" s="283" t="s">
        <v>237</v>
      </c>
    </row>
    <row r="5" spans="1:2" ht="69" customHeight="1" x14ac:dyDescent="0.35">
      <c r="A5" s="739"/>
      <c r="B5" s="135" t="s">
        <v>239</v>
      </c>
    </row>
    <row r="6" spans="1:2" ht="14.25" customHeight="1" x14ac:dyDescent="0.35"/>
    <row r="7" spans="1:2" ht="31.5" customHeight="1" x14ac:dyDescent="0.35">
      <c r="A7" s="278" t="s">
        <v>136</v>
      </c>
      <c r="B7" s="120" t="s">
        <v>91</v>
      </c>
    </row>
    <row r="8" spans="1:2" ht="26.25" customHeight="1" x14ac:dyDescent="0.35">
      <c r="A8" s="83" t="s">
        <v>137</v>
      </c>
      <c r="B8" s="120" t="s">
        <v>92</v>
      </c>
    </row>
    <row r="10" spans="1:2" ht="37.5" customHeight="1" x14ac:dyDescent="0.35">
      <c r="A10" s="742" t="s">
        <v>143</v>
      </c>
      <c r="B10" s="124" t="s">
        <v>142</v>
      </c>
    </row>
    <row r="11" spans="1:2" ht="36" customHeight="1" x14ac:dyDescent="0.35">
      <c r="A11" s="743"/>
      <c r="B11" s="124" t="s">
        <v>240</v>
      </c>
    </row>
    <row r="12" spans="1:2" ht="54" customHeight="1" x14ac:dyDescent="0.35">
      <c r="A12" s="743"/>
      <c r="B12" s="272" t="s">
        <v>132</v>
      </c>
    </row>
    <row r="13" spans="1:2" ht="11.25" customHeight="1" x14ac:dyDescent="0.35">
      <c r="A13" s="743"/>
      <c r="B13" s="274"/>
    </row>
    <row r="14" spans="1:2" ht="26.25" customHeight="1" x14ac:dyDescent="0.35">
      <c r="A14" s="743"/>
      <c r="B14" s="273" t="s">
        <v>93</v>
      </c>
    </row>
    <row r="15" spans="1:2" ht="33.75" customHeight="1" x14ac:dyDescent="0.35">
      <c r="A15" s="743"/>
      <c r="B15" s="272" t="s">
        <v>144</v>
      </c>
    </row>
    <row r="16" spans="1:2" ht="18" customHeight="1" x14ac:dyDescent="0.35">
      <c r="A16" s="743"/>
      <c r="B16" s="272" t="s">
        <v>94</v>
      </c>
    </row>
    <row r="17" spans="1:4" ht="21.75" customHeight="1" x14ac:dyDescent="0.35">
      <c r="A17" s="743"/>
      <c r="B17" s="272" t="s">
        <v>145</v>
      </c>
      <c r="D17" s="277"/>
    </row>
    <row r="18" spans="1:4" ht="15" customHeight="1" x14ac:dyDescent="0.35">
      <c r="A18" s="743"/>
      <c r="B18" s="274"/>
      <c r="D18" s="277"/>
    </row>
    <row r="19" spans="1:4" ht="21.75" customHeight="1" x14ac:dyDescent="0.35">
      <c r="A19" s="743"/>
      <c r="B19" s="273" t="s">
        <v>95</v>
      </c>
      <c r="D19" s="277"/>
    </row>
    <row r="20" spans="1:4" ht="34.5" customHeight="1" x14ac:dyDescent="0.35">
      <c r="A20" s="743"/>
      <c r="B20" s="272" t="s">
        <v>146</v>
      </c>
    </row>
    <row r="21" spans="1:4" ht="39.75" customHeight="1" x14ac:dyDescent="0.35">
      <c r="A21" s="743"/>
      <c r="B21" s="272" t="s">
        <v>195</v>
      </c>
    </row>
    <row r="22" spans="1:4" ht="29.25" customHeight="1" x14ac:dyDescent="0.35">
      <c r="A22" s="743"/>
      <c r="B22" s="272" t="s">
        <v>147</v>
      </c>
    </row>
    <row r="24" spans="1:4" ht="3" customHeight="1" x14ac:dyDescent="0.35"/>
    <row r="25" spans="1:4" ht="49.5" customHeight="1" x14ac:dyDescent="0.35">
      <c r="A25" s="744" t="s">
        <v>96</v>
      </c>
      <c r="B25" s="122" t="s">
        <v>148</v>
      </c>
    </row>
    <row r="26" spans="1:4" ht="16.5" customHeight="1" x14ac:dyDescent="0.35">
      <c r="A26" s="744"/>
      <c r="B26" s="275"/>
    </row>
    <row r="27" spans="1:4" ht="36.75" customHeight="1" x14ac:dyDescent="0.35">
      <c r="A27" s="744"/>
      <c r="B27" s="122" t="s">
        <v>99</v>
      </c>
    </row>
    <row r="28" spans="1:4" ht="21" customHeight="1" x14ac:dyDescent="0.35">
      <c r="A28" s="744"/>
      <c r="B28" s="122" t="s">
        <v>138</v>
      </c>
    </row>
    <row r="29" spans="1:4" ht="21.75" customHeight="1" x14ac:dyDescent="0.35">
      <c r="A29" s="744"/>
      <c r="B29" s="122" t="s">
        <v>97</v>
      </c>
    </row>
    <row r="30" spans="1:4" ht="19.5" customHeight="1" x14ac:dyDescent="0.35">
      <c r="A30" s="744"/>
      <c r="B30" s="122" t="s">
        <v>149</v>
      </c>
    </row>
    <row r="31" spans="1:4" x14ac:dyDescent="0.35">
      <c r="B31" s="121"/>
    </row>
    <row r="32" spans="1:4" ht="36" customHeight="1" x14ac:dyDescent="0.35">
      <c r="A32" s="741" t="s">
        <v>98</v>
      </c>
      <c r="B32" s="123" t="s">
        <v>134</v>
      </c>
    </row>
    <row r="33" spans="1:2" ht="21" customHeight="1" x14ac:dyDescent="0.35">
      <c r="A33" s="741"/>
      <c r="B33" s="123" t="s">
        <v>116</v>
      </c>
    </row>
    <row r="34" spans="1:2" ht="15" customHeight="1" x14ac:dyDescent="0.35">
      <c r="A34" s="316"/>
    </row>
    <row r="35" spans="1:2" ht="50.25" customHeight="1" x14ac:dyDescent="0.35">
      <c r="A35" s="317" t="s">
        <v>196</v>
      </c>
      <c r="B35" s="318" t="s">
        <v>197</v>
      </c>
    </row>
    <row r="37" spans="1:2" ht="33.75" customHeight="1" x14ac:dyDescent="0.35">
      <c r="A37" s="740" t="s">
        <v>127</v>
      </c>
      <c r="B37" s="271" t="s">
        <v>128</v>
      </c>
    </row>
    <row r="38" spans="1:2" ht="54" customHeight="1" x14ac:dyDescent="0.35">
      <c r="A38" s="740"/>
      <c r="B38" s="271" t="s">
        <v>129</v>
      </c>
    </row>
    <row r="40" spans="1:2" ht="52.5" customHeight="1" x14ac:dyDescent="0.35">
      <c r="A40" s="297" t="s">
        <v>198</v>
      </c>
      <c r="B40" s="319" t="s">
        <v>199</v>
      </c>
    </row>
    <row r="42" spans="1:2" ht="48.75" customHeight="1" x14ac:dyDescent="0.35">
      <c r="A42" s="734" t="s">
        <v>222</v>
      </c>
      <c r="B42" s="323" t="s">
        <v>236</v>
      </c>
    </row>
    <row r="43" spans="1:2" ht="145" x14ac:dyDescent="0.35">
      <c r="A43" s="735"/>
      <c r="B43" s="323" t="s">
        <v>223</v>
      </c>
    </row>
    <row r="44" spans="1:2" ht="51" customHeight="1" x14ac:dyDescent="0.35">
      <c r="A44" s="736"/>
      <c r="B44" s="323" t="s">
        <v>224</v>
      </c>
    </row>
  </sheetData>
  <mergeCells count="6">
    <mergeCell ref="A42:A44"/>
    <mergeCell ref="A3:A5"/>
    <mergeCell ref="A37:A38"/>
    <mergeCell ref="A32:A33"/>
    <mergeCell ref="A10:A22"/>
    <mergeCell ref="A25:A30"/>
  </mergeCells>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DE2F6"/>
  </sheetPr>
  <dimension ref="A1:BM17"/>
  <sheetViews>
    <sheetView workbookViewId="0"/>
  </sheetViews>
  <sheetFormatPr defaultColWidth="9.1796875" defaultRowHeight="14.5" x14ac:dyDescent="0.35"/>
  <cols>
    <col min="1" max="1" width="37.81640625" style="71" customWidth="1"/>
    <col min="2" max="2" width="7.453125" style="265" customWidth="1"/>
    <col min="3" max="16" width="7.1796875" style="1" customWidth="1"/>
    <col min="17" max="35" width="9.1796875" style="1"/>
    <col min="36" max="16384" width="9.1796875" style="70"/>
  </cols>
  <sheetData>
    <row r="1" spans="1:65" ht="18.5" x14ac:dyDescent="0.35">
      <c r="A1" s="324" t="s">
        <v>225</v>
      </c>
      <c r="E1" s="325" t="s">
        <v>226</v>
      </c>
    </row>
    <row r="2" spans="1:65" ht="8.25" customHeight="1" x14ac:dyDescent="0.35"/>
    <row r="3" spans="1:65" ht="22.5" customHeight="1" x14ac:dyDescent="0.35">
      <c r="Q3" s="326" t="s">
        <v>227</v>
      </c>
      <c r="R3" s="327">
        <f>'1. Projekti elluviimise kulud'!O21</f>
        <v>11</v>
      </c>
      <c r="S3" s="1" t="s">
        <v>74</v>
      </c>
    </row>
    <row r="4" spans="1:65" ht="20.25" customHeight="1" x14ac:dyDescent="0.35">
      <c r="C4" s="822" t="s">
        <v>228</v>
      </c>
      <c r="D4" s="822"/>
      <c r="E4" s="822"/>
      <c r="F4" s="822"/>
      <c r="G4" s="822"/>
      <c r="H4" s="822"/>
      <c r="I4" s="822"/>
      <c r="J4" s="822"/>
      <c r="K4" s="822"/>
      <c r="L4" s="822"/>
      <c r="M4" s="822"/>
      <c r="N4" s="822"/>
      <c r="O4" s="822"/>
      <c r="P4" s="822"/>
      <c r="Q4" s="822"/>
      <c r="R4" s="823" t="s">
        <v>229</v>
      </c>
      <c r="S4" s="823"/>
      <c r="T4" s="823"/>
      <c r="U4" s="823"/>
      <c r="V4" s="823"/>
      <c r="W4" s="823"/>
      <c r="X4" s="823"/>
      <c r="Y4" s="823"/>
      <c r="Z4" s="823"/>
      <c r="AA4" s="823"/>
      <c r="AB4" s="823"/>
      <c r="AC4" s="823"/>
      <c r="AD4" s="823"/>
      <c r="AE4" s="823"/>
      <c r="AF4" s="823"/>
      <c r="AG4" s="823"/>
      <c r="AH4" s="823"/>
      <c r="AI4" s="823"/>
      <c r="AJ4" s="823"/>
      <c r="AK4" s="823"/>
      <c r="AL4" s="823"/>
      <c r="AM4" s="823"/>
      <c r="AN4" s="823"/>
      <c r="AO4" s="823"/>
      <c r="AP4" s="823"/>
      <c r="AQ4" s="823"/>
      <c r="AR4" s="823"/>
      <c r="AS4" s="823"/>
      <c r="AT4" s="823"/>
      <c r="AU4" s="823"/>
      <c r="AV4" s="823"/>
      <c r="AW4" s="823"/>
      <c r="AX4" s="823"/>
      <c r="AY4" s="823"/>
      <c r="AZ4" s="823"/>
      <c r="BA4" s="823"/>
      <c r="BB4" s="823"/>
      <c r="BC4" s="823"/>
      <c r="BD4" s="823"/>
      <c r="BE4" s="823"/>
      <c r="BF4" s="823"/>
    </row>
    <row r="5" spans="1:65" ht="12" customHeight="1" x14ac:dyDescent="0.35">
      <c r="C5" s="328"/>
      <c r="D5" s="328"/>
      <c r="E5" s="328"/>
      <c r="F5" s="328"/>
      <c r="G5" s="328"/>
      <c r="H5" s="328"/>
      <c r="I5" s="328"/>
      <c r="J5" s="328"/>
      <c r="K5" s="328"/>
      <c r="L5" s="328"/>
      <c r="M5" s="328"/>
      <c r="N5" s="328"/>
      <c r="O5" s="328"/>
      <c r="P5" s="328"/>
      <c r="Q5" s="328"/>
      <c r="R5" s="329">
        <v>1</v>
      </c>
      <c r="S5" s="329">
        <v>2</v>
      </c>
      <c r="T5" s="329">
        <v>3</v>
      </c>
      <c r="U5" s="329">
        <v>4</v>
      </c>
      <c r="V5" s="329">
        <v>5</v>
      </c>
      <c r="W5" s="329">
        <v>6</v>
      </c>
      <c r="X5" s="329">
        <v>7</v>
      </c>
      <c r="Y5" s="329">
        <v>8</v>
      </c>
      <c r="Z5" s="329">
        <v>9</v>
      </c>
      <c r="AA5" s="329">
        <v>10</v>
      </c>
      <c r="AB5" s="329">
        <v>11</v>
      </c>
      <c r="AC5" s="329">
        <v>12</v>
      </c>
      <c r="AD5" s="329">
        <v>13</v>
      </c>
      <c r="AE5" s="329">
        <v>14</v>
      </c>
      <c r="AF5" s="329">
        <v>15</v>
      </c>
      <c r="AG5" s="329">
        <v>16</v>
      </c>
      <c r="AH5" s="329">
        <v>17</v>
      </c>
      <c r="AI5" s="329">
        <v>18</v>
      </c>
      <c r="AJ5" s="329">
        <v>19</v>
      </c>
      <c r="AK5" s="329">
        <v>20</v>
      </c>
      <c r="AL5" s="329">
        <v>21</v>
      </c>
      <c r="AM5" s="329">
        <v>22</v>
      </c>
      <c r="AN5" s="329">
        <v>23</v>
      </c>
      <c r="AO5" s="329">
        <v>24</v>
      </c>
      <c r="AP5" s="329">
        <v>25</v>
      </c>
      <c r="AQ5" s="329">
        <v>26</v>
      </c>
      <c r="AR5" s="329">
        <v>27</v>
      </c>
      <c r="AS5" s="329">
        <v>28</v>
      </c>
      <c r="AT5" s="329">
        <v>29</v>
      </c>
      <c r="AU5" s="329">
        <v>30</v>
      </c>
      <c r="AV5" s="329">
        <v>31</v>
      </c>
      <c r="AW5" s="329">
        <v>32</v>
      </c>
      <c r="AX5" s="329">
        <v>33</v>
      </c>
      <c r="AY5" s="329">
        <v>34</v>
      </c>
      <c r="AZ5" s="329">
        <v>35</v>
      </c>
      <c r="BA5" s="329">
        <v>36</v>
      </c>
      <c r="BB5" s="329">
        <v>37</v>
      </c>
      <c r="BC5" s="329">
        <v>38</v>
      </c>
      <c r="BD5" s="329">
        <v>39</v>
      </c>
      <c r="BE5" s="329">
        <v>40</v>
      </c>
      <c r="BF5" s="329">
        <v>41</v>
      </c>
    </row>
    <row r="6" spans="1:65" s="334" customFormat="1" ht="23.25" customHeight="1" x14ac:dyDescent="0.35">
      <c r="A6" s="330"/>
      <c r="B6" s="331"/>
      <c r="C6" s="332">
        <f>'2. Tulud-kulud projektiga'!D3</f>
        <v>2024</v>
      </c>
      <c r="D6" s="332">
        <f>C6+1</f>
        <v>2025</v>
      </c>
      <c r="E6" s="332">
        <f t="shared" ref="E6:BF6" si="0">D6+1</f>
        <v>2026</v>
      </c>
      <c r="F6" s="332">
        <f t="shared" si="0"/>
        <v>2027</v>
      </c>
      <c r="G6" s="332">
        <f t="shared" si="0"/>
        <v>2028</v>
      </c>
      <c r="H6" s="332">
        <f t="shared" si="0"/>
        <v>2029</v>
      </c>
      <c r="I6" s="332">
        <f t="shared" si="0"/>
        <v>2030</v>
      </c>
      <c r="J6" s="332">
        <f t="shared" si="0"/>
        <v>2031</v>
      </c>
      <c r="K6" s="332">
        <f t="shared" si="0"/>
        <v>2032</v>
      </c>
      <c r="L6" s="332">
        <f t="shared" si="0"/>
        <v>2033</v>
      </c>
      <c r="M6" s="332">
        <f t="shared" si="0"/>
        <v>2034</v>
      </c>
      <c r="N6" s="332">
        <f t="shared" si="0"/>
        <v>2035</v>
      </c>
      <c r="O6" s="332">
        <f t="shared" si="0"/>
        <v>2036</v>
      </c>
      <c r="P6" s="332">
        <f t="shared" si="0"/>
        <v>2037</v>
      </c>
      <c r="Q6" s="332">
        <f t="shared" si="0"/>
        <v>2038</v>
      </c>
      <c r="R6" s="333">
        <f t="shared" si="0"/>
        <v>2039</v>
      </c>
      <c r="S6" s="333">
        <f t="shared" si="0"/>
        <v>2040</v>
      </c>
      <c r="T6" s="333">
        <f t="shared" si="0"/>
        <v>2041</v>
      </c>
      <c r="U6" s="333">
        <f t="shared" si="0"/>
        <v>2042</v>
      </c>
      <c r="V6" s="333">
        <f t="shared" si="0"/>
        <v>2043</v>
      </c>
      <c r="W6" s="333">
        <f t="shared" si="0"/>
        <v>2044</v>
      </c>
      <c r="X6" s="333">
        <f t="shared" si="0"/>
        <v>2045</v>
      </c>
      <c r="Y6" s="333">
        <f t="shared" si="0"/>
        <v>2046</v>
      </c>
      <c r="Z6" s="333">
        <f t="shared" si="0"/>
        <v>2047</v>
      </c>
      <c r="AA6" s="333">
        <f t="shared" si="0"/>
        <v>2048</v>
      </c>
      <c r="AB6" s="333">
        <f t="shared" si="0"/>
        <v>2049</v>
      </c>
      <c r="AC6" s="333">
        <f t="shared" si="0"/>
        <v>2050</v>
      </c>
      <c r="AD6" s="333">
        <f t="shared" si="0"/>
        <v>2051</v>
      </c>
      <c r="AE6" s="333">
        <f t="shared" si="0"/>
        <v>2052</v>
      </c>
      <c r="AF6" s="333">
        <f t="shared" si="0"/>
        <v>2053</v>
      </c>
      <c r="AG6" s="333">
        <f t="shared" si="0"/>
        <v>2054</v>
      </c>
      <c r="AH6" s="333">
        <f t="shared" si="0"/>
        <v>2055</v>
      </c>
      <c r="AI6" s="333">
        <f t="shared" si="0"/>
        <v>2056</v>
      </c>
      <c r="AJ6" s="333">
        <f t="shared" si="0"/>
        <v>2057</v>
      </c>
      <c r="AK6" s="333">
        <f t="shared" si="0"/>
        <v>2058</v>
      </c>
      <c r="AL6" s="333">
        <f t="shared" si="0"/>
        <v>2059</v>
      </c>
      <c r="AM6" s="333">
        <f t="shared" si="0"/>
        <v>2060</v>
      </c>
      <c r="AN6" s="333">
        <f t="shared" si="0"/>
        <v>2061</v>
      </c>
      <c r="AO6" s="333">
        <f t="shared" si="0"/>
        <v>2062</v>
      </c>
      <c r="AP6" s="333">
        <f t="shared" si="0"/>
        <v>2063</v>
      </c>
      <c r="AQ6" s="333">
        <f t="shared" si="0"/>
        <v>2064</v>
      </c>
      <c r="AR6" s="333">
        <f t="shared" si="0"/>
        <v>2065</v>
      </c>
      <c r="AS6" s="333">
        <f t="shared" si="0"/>
        <v>2066</v>
      </c>
      <c r="AT6" s="333">
        <f t="shared" si="0"/>
        <v>2067</v>
      </c>
      <c r="AU6" s="333">
        <f t="shared" si="0"/>
        <v>2068</v>
      </c>
      <c r="AV6" s="333">
        <f t="shared" si="0"/>
        <v>2069</v>
      </c>
      <c r="AW6" s="333">
        <f t="shared" si="0"/>
        <v>2070</v>
      </c>
      <c r="AX6" s="333">
        <f t="shared" si="0"/>
        <v>2071</v>
      </c>
      <c r="AY6" s="333">
        <f t="shared" si="0"/>
        <v>2072</v>
      </c>
      <c r="AZ6" s="333">
        <f t="shared" si="0"/>
        <v>2073</v>
      </c>
      <c r="BA6" s="333">
        <f t="shared" si="0"/>
        <v>2074</v>
      </c>
      <c r="BB6" s="333">
        <f t="shared" si="0"/>
        <v>2075</v>
      </c>
      <c r="BC6" s="333">
        <f t="shared" si="0"/>
        <v>2076</v>
      </c>
      <c r="BD6" s="333">
        <f t="shared" si="0"/>
        <v>2077</v>
      </c>
      <c r="BE6" s="333">
        <f t="shared" si="0"/>
        <v>2078</v>
      </c>
      <c r="BF6" s="333">
        <f t="shared" si="0"/>
        <v>2079</v>
      </c>
    </row>
    <row r="7" spans="1:65" ht="4.5" customHeight="1" x14ac:dyDescent="0.35">
      <c r="A7" s="238"/>
      <c r="B7" s="246"/>
      <c r="C7" s="74"/>
      <c r="D7" s="74"/>
      <c r="E7" s="74"/>
      <c r="F7" s="74"/>
      <c r="G7" s="74"/>
      <c r="H7" s="74"/>
      <c r="I7" s="74"/>
      <c r="J7" s="74"/>
      <c r="K7" s="74"/>
      <c r="L7" s="74"/>
      <c r="M7" s="74"/>
      <c r="N7" s="74"/>
      <c r="O7" s="74"/>
      <c r="P7" s="134"/>
      <c r="Q7" s="134"/>
      <c r="R7" s="335"/>
      <c r="S7" s="335"/>
      <c r="T7" s="335"/>
      <c r="U7" s="335"/>
      <c r="V7" s="335"/>
      <c r="W7" s="335"/>
      <c r="X7" s="335"/>
      <c r="Y7" s="335"/>
      <c r="Z7" s="335"/>
      <c r="AA7" s="335"/>
      <c r="AB7" s="335"/>
      <c r="AC7" s="335"/>
      <c r="AD7" s="335"/>
      <c r="AE7" s="335"/>
      <c r="AF7" s="335"/>
      <c r="AG7" s="335"/>
      <c r="AH7" s="335"/>
      <c r="AI7" s="335"/>
      <c r="AJ7" s="336"/>
      <c r="AK7" s="336"/>
      <c r="AL7" s="336"/>
      <c r="AM7" s="336"/>
      <c r="AN7" s="336"/>
      <c r="AO7" s="336"/>
      <c r="AP7" s="336"/>
      <c r="AQ7" s="336"/>
      <c r="AR7" s="336"/>
      <c r="AS7" s="336"/>
      <c r="AT7" s="336"/>
      <c r="AU7" s="336"/>
      <c r="AV7" s="336"/>
      <c r="AW7" s="336"/>
      <c r="AX7" s="336"/>
      <c r="AY7" s="336"/>
      <c r="AZ7" s="336"/>
      <c r="BA7" s="336"/>
      <c r="BB7" s="336"/>
      <c r="BC7" s="336"/>
      <c r="BD7" s="336"/>
      <c r="BE7" s="336"/>
      <c r="BF7" s="336"/>
    </row>
    <row r="8" spans="1:65" ht="36.75" customHeight="1" x14ac:dyDescent="0.35">
      <c r="A8" s="337" t="s">
        <v>235</v>
      </c>
      <c r="B8" s="338" t="s">
        <v>3</v>
      </c>
      <c r="C8" s="824">
        <f>'5. Abikõlblik kulu'!D11-'5. Abikõlblik kulu'!D12</f>
        <v>-16347.500039214967</v>
      </c>
      <c r="D8" s="825"/>
      <c r="E8" s="825"/>
      <c r="F8" s="825"/>
      <c r="G8" s="825"/>
      <c r="H8" s="825"/>
      <c r="I8" s="825"/>
      <c r="J8" s="825"/>
      <c r="K8" s="825"/>
      <c r="L8" s="825"/>
      <c r="M8" s="825"/>
      <c r="N8" s="825"/>
      <c r="O8" s="825"/>
      <c r="P8" s="825"/>
      <c r="Q8" s="826"/>
      <c r="R8" s="335"/>
      <c r="S8" s="335"/>
      <c r="T8" s="335"/>
      <c r="U8" s="335"/>
      <c r="V8" s="335"/>
      <c r="W8" s="335"/>
      <c r="X8" s="335"/>
      <c r="Y8" s="335"/>
      <c r="Z8" s="335"/>
      <c r="AA8" s="335"/>
      <c r="AB8" s="335"/>
      <c r="AC8" s="335"/>
      <c r="AD8" s="335"/>
      <c r="AE8" s="335"/>
      <c r="AF8" s="335"/>
      <c r="AG8" s="335"/>
      <c r="AH8" s="335"/>
      <c r="AI8" s="335"/>
      <c r="AJ8" s="336"/>
      <c r="AK8" s="336"/>
      <c r="AL8" s="336"/>
      <c r="AM8" s="336"/>
      <c r="AN8" s="336"/>
      <c r="AO8" s="336"/>
      <c r="AP8" s="336"/>
      <c r="AQ8" s="336"/>
      <c r="AR8" s="336"/>
      <c r="AS8" s="336"/>
      <c r="AT8" s="336"/>
      <c r="AU8" s="336"/>
      <c r="AV8" s="336"/>
      <c r="AW8" s="336"/>
      <c r="AX8" s="336"/>
      <c r="AY8" s="336"/>
      <c r="AZ8" s="336"/>
      <c r="BA8" s="336"/>
      <c r="BB8" s="336"/>
      <c r="BC8" s="336"/>
      <c r="BD8" s="336"/>
      <c r="BE8" s="336"/>
      <c r="BF8" s="336"/>
    </row>
    <row r="9" spans="1:65" ht="24.75" customHeight="1" x14ac:dyDescent="0.35">
      <c r="A9" s="339" t="s">
        <v>230</v>
      </c>
      <c r="B9" s="338" t="s">
        <v>3</v>
      </c>
      <c r="C9" s="827" t="str">
        <f>IF(AND((C8&gt;0),(R3&gt;0)),"Projekti varale on vaja arvutada jääkväärtus","Jääkväärtust ei ole vaja arvutada")</f>
        <v>Jääkväärtust ei ole vaja arvutada</v>
      </c>
      <c r="D9" s="828"/>
      <c r="E9" s="828"/>
      <c r="F9" s="828"/>
      <c r="G9" s="828"/>
      <c r="H9" s="828"/>
      <c r="I9" s="828"/>
      <c r="J9" s="828"/>
      <c r="K9" s="828"/>
      <c r="L9" s="828"/>
      <c r="M9" s="828"/>
      <c r="N9" s="828"/>
      <c r="O9" s="828"/>
      <c r="P9" s="828"/>
      <c r="Q9" s="829"/>
      <c r="R9" s="335"/>
      <c r="S9" s="335"/>
      <c r="T9" s="335"/>
      <c r="U9" s="335"/>
      <c r="V9" s="335"/>
      <c r="W9" s="335"/>
      <c r="X9" s="335"/>
      <c r="Y9" s="335"/>
      <c r="Z9" s="335"/>
      <c r="AA9" s="335"/>
      <c r="AB9" s="335"/>
      <c r="AC9" s="335"/>
      <c r="AD9" s="335"/>
      <c r="AE9" s="335"/>
      <c r="AF9" s="335"/>
      <c r="AG9" s="335"/>
      <c r="AH9" s="335"/>
      <c r="AI9" s="335"/>
      <c r="AJ9" s="336"/>
      <c r="AK9" s="336"/>
      <c r="AL9" s="336"/>
      <c r="AM9" s="336"/>
      <c r="AN9" s="336"/>
      <c r="AO9" s="336"/>
      <c r="AP9" s="336"/>
      <c r="AQ9" s="336"/>
      <c r="AR9" s="336"/>
      <c r="AS9" s="336"/>
      <c r="AT9" s="336"/>
      <c r="AU9" s="336"/>
      <c r="AV9" s="336"/>
      <c r="AW9" s="336"/>
      <c r="AX9" s="336"/>
      <c r="AY9" s="336"/>
      <c r="AZ9" s="336"/>
      <c r="BA9" s="336"/>
      <c r="BB9" s="336"/>
      <c r="BC9" s="336"/>
      <c r="BD9" s="336"/>
      <c r="BE9" s="336"/>
      <c r="BF9" s="336"/>
    </row>
    <row r="10" spans="1:65" ht="4.5" customHeight="1" x14ac:dyDescent="0.35">
      <c r="A10" s="238"/>
      <c r="B10" s="246"/>
      <c r="C10" s="74"/>
      <c r="D10" s="74"/>
      <c r="E10" s="74"/>
      <c r="F10" s="74"/>
      <c r="G10" s="74"/>
      <c r="H10" s="74"/>
      <c r="I10" s="74"/>
      <c r="J10" s="74"/>
      <c r="K10" s="74"/>
      <c r="L10" s="74"/>
      <c r="M10" s="74"/>
      <c r="N10" s="74"/>
      <c r="O10" s="74"/>
      <c r="P10" s="74"/>
      <c r="Q10" s="74"/>
      <c r="R10" s="335"/>
      <c r="S10" s="335"/>
      <c r="T10" s="335"/>
      <c r="U10" s="335"/>
      <c r="V10" s="335"/>
      <c r="W10" s="335"/>
      <c r="X10" s="335"/>
      <c r="Y10" s="335"/>
      <c r="Z10" s="335"/>
      <c r="AA10" s="335"/>
      <c r="AB10" s="335"/>
      <c r="AC10" s="335"/>
      <c r="AD10" s="335"/>
      <c r="AE10" s="335"/>
      <c r="AF10" s="335"/>
      <c r="AG10" s="335"/>
      <c r="AH10" s="335"/>
      <c r="AI10" s="335"/>
      <c r="AJ10" s="336"/>
      <c r="AK10" s="336"/>
      <c r="AL10" s="336"/>
      <c r="AM10" s="336"/>
      <c r="AN10" s="336"/>
      <c r="AO10" s="336"/>
      <c r="AP10" s="336"/>
      <c r="AQ10" s="336"/>
      <c r="AR10" s="336"/>
      <c r="AS10" s="336"/>
      <c r="AT10" s="336"/>
      <c r="AU10" s="336"/>
      <c r="AV10" s="336"/>
      <c r="AW10" s="336"/>
      <c r="AX10" s="336"/>
      <c r="AY10" s="336"/>
      <c r="AZ10" s="336"/>
      <c r="BA10" s="336"/>
      <c r="BB10" s="336"/>
      <c r="BC10" s="336"/>
      <c r="BD10" s="336"/>
      <c r="BE10" s="336"/>
      <c r="BF10" s="336"/>
    </row>
    <row r="11" spans="1:65" s="244" customFormat="1" ht="39.75" customHeight="1" x14ac:dyDescent="0.35">
      <c r="A11" s="340" t="s">
        <v>231</v>
      </c>
      <c r="B11" s="338" t="s">
        <v>3</v>
      </c>
      <c r="C11" s="308"/>
      <c r="D11" s="308"/>
      <c r="E11" s="308"/>
      <c r="F11" s="308"/>
      <c r="G11" s="308"/>
      <c r="H11" s="308"/>
      <c r="I11" s="308"/>
      <c r="J11" s="308"/>
      <c r="K11" s="308"/>
      <c r="L11" s="308"/>
      <c r="M11" s="308"/>
      <c r="N11" s="308"/>
      <c r="O11" s="308"/>
      <c r="P11" s="308"/>
      <c r="Q11" s="341">
        <f>'4. Lisanduvad tulud-kulud'!R121</f>
        <v>-4363.9762221841956</v>
      </c>
      <c r="R11" s="342"/>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4"/>
      <c r="BH11" s="344"/>
      <c r="BI11" s="344"/>
      <c r="BJ11" s="344"/>
      <c r="BK11" s="344"/>
      <c r="BL11" s="344"/>
      <c r="BM11" s="345"/>
    </row>
    <row r="12" spans="1:65" ht="60.75" customHeight="1" x14ac:dyDescent="0.35">
      <c r="A12" s="340" t="s">
        <v>232</v>
      </c>
      <c r="B12" s="338" t="s">
        <v>3</v>
      </c>
      <c r="C12" s="346"/>
      <c r="D12" s="346"/>
      <c r="E12" s="346"/>
      <c r="F12" s="346"/>
      <c r="G12" s="346"/>
      <c r="H12" s="346"/>
      <c r="I12" s="346"/>
      <c r="J12" s="346"/>
      <c r="K12" s="346"/>
      <c r="L12" s="346"/>
      <c r="M12" s="346"/>
      <c r="N12" s="346"/>
      <c r="O12" s="346"/>
      <c r="P12" s="346"/>
      <c r="Q12" s="346"/>
      <c r="R12" s="347">
        <f>IF(Q11&gt;0,IF(R3&gt;0,Q11,0),0)</f>
        <v>0</v>
      </c>
      <c r="S12" s="347">
        <f>IF($R$3&gt;1,R12,0)</f>
        <v>0</v>
      </c>
      <c r="T12" s="347">
        <f>IF($R$3&gt;2,S12,0)</f>
        <v>0</v>
      </c>
      <c r="U12" s="347">
        <f>IF($R$3&gt;3,T12,0)</f>
        <v>0</v>
      </c>
      <c r="V12" s="347">
        <f>IF($R$3&gt;4,U12,0)</f>
        <v>0</v>
      </c>
      <c r="W12" s="347">
        <f>IF($R$3&gt;5,V12,0)</f>
        <v>0</v>
      </c>
      <c r="X12" s="347">
        <f>IF($R$3&gt;6,W12,0)</f>
        <v>0</v>
      </c>
      <c r="Y12" s="347">
        <f>IF($R$3&gt;7,X12,0)</f>
        <v>0</v>
      </c>
      <c r="Z12" s="347">
        <f>IF($R$3&gt;8,Y12,0)</f>
        <v>0</v>
      </c>
      <c r="AA12" s="347">
        <f>IF($R$3&gt;9,Z12,0)</f>
        <v>0</v>
      </c>
      <c r="AB12" s="347">
        <f>IF($R$3&gt;10,AA12,0)</f>
        <v>0</v>
      </c>
      <c r="AC12" s="347">
        <f>IF($R$3&gt;11,AB12,0)</f>
        <v>0</v>
      </c>
      <c r="AD12" s="347"/>
      <c r="AE12" s="347"/>
      <c r="AF12" s="347"/>
      <c r="AG12" s="347"/>
      <c r="AH12" s="347"/>
      <c r="AI12" s="347"/>
      <c r="AJ12" s="348"/>
      <c r="AK12" s="348"/>
      <c r="AL12" s="348"/>
      <c r="AM12" s="348"/>
      <c r="AN12" s="348"/>
      <c r="AO12" s="348"/>
      <c r="AP12" s="348"/>
      <c r="AQ12" s="348"/>
      <c r="AR12" s="348"/>
      <c r="AS12" s="348"/>
      <c r="AT12" s="348"/>
      <c r="AU12" s="348"/>
      <c r="AV12" s="348"/>
      <c r="AW12" s="348"/>
      <c r="AX12" s="348"/>
      <c r="AY12" s="348"/>
      <c r="AZ12" s="348"/>
      <c r="BA12" s="348"/>
      <c r="BB12" s="348"/>
      <c r="BC12" s="348"/>
      <c r="BD12" s="348"/>
      <c r="BE12" s="348"/>
      <c r="BF12" s="348"/>
      <c r="BG12" s="349"/>
      <c r="BH12" s="349"/>
      <c r="BI12" s="349"/>
      <c r="BJ12" s="349"/>
      <c r="BK12" s="349"/>
      <c r="BL12" s="349"/>
      <c r="BM12" s="350"/>
    </row>
    <row r="13" spans="1:65" ht="30.75" customHeight="1" x14ac:dyDescent="0.35">
      <c r="A13" s="340" t="s">
        <v>79</v>
      </c>
      <c r="B13" s="338" t="s">
        <v>3</v>
      </c>
      <c r="C13" s="346"/>
      <c r="D13" s="346"/>
      <c r="E13" s="346"/>
      <c r="F13" s="346"/>
      <c r="G13" s="346"/>
      <c r="H13" s="346"/>
      <c r="I13" s="346"/>
      <c r="J13" s="346"/>
      <c r="K13" s="346"/>
      <c r="L13" s="346"/>
      <c r="M13" s="346"/>
      <c r="N13" s="346"/>
      <c r="O13" s="346"/>
      <c r="P13" s="346"/>
      <c r="Q13" s="341">
        <f>NPV(C16,R12:BF12)</f>
        <v>0</v>
      </c>
      <c r="R13" s="351"/>
      <c r="S13" s="351"/>
      <c r="T13" s="351"/>
      <c r="U13" s="351"/>
      <c r="V13" s="351"/>
      <c r="W13" s="351"/>
      <c r="X13" s="351"/>
      <c r="Y13" s="351"/>
      <c r="Z13" s="351"/>
      <c r="AA13" s="351"/>
      <c r="AB13" s="351"/>
      <c r="AC13" s="351"/>
      <c r="AD13" s="351"/>
      <c r="AE13" s="351"/>
      <c r="AF13" s="351"/>
      <c r="AG13" s="351"/>
      <c r="AH13" s="351"/>
      <c r="AI13" s="351"/>
      <c r="AJ13" s="352"/>
      <c r="AK13" s="352"/>
      <c r="AL13" s="352"/>
      <c r="AM13" s="352"/>
      <c r="AN13" s="352"/>
      <c r="AO13" s="352"/>
      <c r="AP13" s="352"/>
      <c r="AQ13" s="352"/>
      <c r="AR13" s="352"/>
      <c r="AS13" s="352"/>
      <c r="AT13" s="352"/>
      <c r="AU13" s="352"/>
      <c r="AV13" s="352"/>
      <c r="AW13" s="352"/>
      <c r="AX13" s="352"/>
      <c r="AY13" s="352"/>
      <c r="AZ13" s="352"/>
      <c r="BA13" s="352"/>
      <c r="BB13" s="352"/>
      <c r="BC13" s="352"/>
      <c r="BD13" s="352"/>
      <c r="BE13" s="352"/>
      <c r="BF13" s="352"/>
      <c r="BG13" s="349"/>
      <c r="BH13" s="349"/>
      <c r="BI13" s="349"/>
      <c r="BJ13" s="349"/>
      <c r="BK13" s="349"/>
      <c r="BL13" s="349"/>
      <c r="BM13" s="350"/>
    </row>
    <row r="14" spans="1:65" ht="40.5" customHeight="1" x14ac:dyDescent="0.35">
      <c r="A14" s="340" t="s">
        <v>233</v>
      </c>
      <c r="B14" s="338" t="s">
        <v>3</v>
      </c>
      <c r="C14" s="346">
        <v>0</v>
      </c>
      <c r="D14" s="346">
        <v>0</v>
      </c>
      <c r="E14" s="346">
        <v>0</v>
      </c>
      <c r="F14" s="346">
        <v>0</v>
      </c>
      <c r="G14" s="346">
        <v>0</v>
      </c>
      <c r="H14" s="346">
        <v>0</v>
      </c>
      <c r="I14" s="346">
        <v>0</v>
      </c>
      <c r="J14" s="346">
        <v>0</v>
      </c>
      <c r="K14" s="346">
        <v>0</v>
      </c>
      <c r="L14" s="346">
        <v>0</v>
      </c>
      <c r="M14" s="346">
        <v>0</v>
      </c>
      <c r="N14" s="346">
        <v>0</v>
      </c>
      <c r="O14" s="346">
        <v>0</v>
      </c>
      <c r="P14" s="346">
        <v>0</v>
      </c>
      <c r="Q14" s="341">
        <f>IF(Q13&gt;0,Q13,0)</f>
        <v>0</v>
      </c>
      <c r="R14" s="353"/>
      <c r="S14" s="351"/>
      <c r="T14" s="351"/>
      <c r="U14" s="351"/>
      <c r="V14" s="351"/>
      <c r="W14" s="351"/>
      <c r="X14" s="351"/>
      <c r="Y14" s="351"/>
      <c r="Z14" s="351"/>
      <c r="AA14" s="351"/>
      <c r="AB14" s="351"/>
      <c r="AC14" s="351"/>
      <c r="AD14" s="351"/>
      <c r="AE14" s="351"/>
      <c r="AF14" s="351"/>
      <c r="AG14" s="351"/>
      <c r="AH14" s="351"/>
      <c r="AI14" s="351"/>
      <c r="AJ14" s="352"/>
      <c r="AK14" s="352"/>
      <c r="AL14" s="352"/>
      <c r="AM14" s="352"/>
      <c r="AN14" s="352"/>
      <c r="AO14" s="352"/>
      <c r="AP14" s="352"/>
      <c r="AQ14" s="352"/>
      <c r="AR14" s="352"/>
      <c r="AS14" s="352"/>
      <c r="AT14" s="352"/>
      <c r="AU14" s="352"/>
      <c r="AV14" s="352"/>
      <c r="AW14" s="352"/>
      <c r="AX14" s="352"/>
      <c r="AY14" s="352"/>
      <c r="AZ14" s="352"/>
      <c r="BA14" s="352"/>
      <c r="BB14" s="352"/>
      <c r="BC14" s="352"/>
      <c r="BD14" s="352"/>
      <c r="BE14" s="352"/>
      <c r="BF14" s="352"/>
      <c r="BG14" s="349"/>
      <c r="BH14" s="349"/>
      <c r="BI14" s="349"/>
      <c r="BJ14" s="349"/>
      <c r="BK14" s="349"/>
      <c r="BL14" s="349"/>
      <c r="BM14" s="350"/>
    </row>
    <row r="15" spans="1:65" ht="18.75" customHeight="1" x14ac:dyDescent="0.35">
      <c r="A15" s="354"/>
      <c r="C15" s="16"/>
      <c r="D15" s="16"/>
      <c r="E15" s="16"/>
      <c r="F15" s="16"/>
      <c r="G15" s="16"/>
      <c r="H15" s="16"/>
      <c r="I15" s="16"/>
      <c r="J15" s="16"/>
      <c r="K15" s="16"/>
      <c r="L15" s="16"/>
      <c r="M15" s="16"/>
      <c r="N15" s="16"/>
      <c r="O15" s="16"/>
      <c r="P15" s="16"/>
      <c r="Q15" s="16"/>
      <c r="R15" s="355"/>
      <c r="S15" s="356"/>
      <c r="T15" s="356"/>
      <c r="U15" s="356"/>
      <c r="V15" s="356"/>
      <c r="W15" s="356"/>
      <c r="X15" s="356"/>
      <c r="Y15" s="356"/>
      <c r="Z15" s="356"/>
      <c r="AA15" s="356"/>
      <c r="AB15" s="356"/>
      <c r="AC15" s="356"/>
      <c r="AD15" s="356"/>
      <c r="AE15" s="356"/>
      <c r="AF15" s="356"/>
      <c r="AG15" s="356"/>
      <c r="AH15" s="356"/>
      <c r="AI15" s="356"/>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row>
    <row r="16" spans="1:65" ht="22.5" customHeight="1" x14ac:dyDescent="0.35">
      <c r="A16" s="357" t="s">
        <v>73</v>
      </c>
      <c r="B16" s="358"/>
      <c r="C16" s="830">
        <f>'5. Abikõlblik kulu'!C3</f>
        <v>0.04</v>
      </c>
      <c r="D16" s="821"/>
    </row>
    <row r="17" spans="1:4" ht="39" customHeight="1" x14ac:dyDescent="0.35">
      <c r="A17" s="323" t="s">
        <v>234</v>
      </c>
      <c r="B17" s="359" t="s">
        <v>3</v>
      </c>
      <c r="C17" s="820">
        <f>NPV(C16,C14:Q14)</f>
        <v>0</v>
      </c>
      <c r="D17" s="821"/>
    </row>
  </sheetData>
  <mergeCells count="6">
    <mergeCell ref="C17:D17"/>
    <mergeCell ref="C4:Q4"/>
    <mergeCell ref="R4:BF4"/>
    <mergeCell ref="C8:Q8"/>
    <mergeCell ref="C9:Q9"/>
    <mergeCell ref="C16:D16"/>
  </mergeCell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2:AH92"/>
  <sheetViews>
    <sheetView workbookViewId="0">
      <pane xSplit="4" ySplit="3" topLeftCell="Q57" activePane="bottomRight" state="frozen"/>
      <selection pane="topRight" activeCell="E1" sqref="E1"/>
      <selection pane="bottomLeft" activeCell="A4" sqref="A4"/>
      <selection pane="bottomRight" activeCell="T34" sqref="T34"/>
    </sheetView>
  </sheetViews>
  <sheetFormatPr defaultColWidth="9.1796875" defaultRowHeight="14" x14ac:dyDescent="0.3"/>
  <cols>
    <col min="1" max="1" width="32.81640625" style="375" customWidth="1"/>
    <col min="2" max="2" width="12.453125" style="375" customWidth="1"/>
    <col min="3" max="3" width="12.54296875" style="375" hidden="1" customWidth="1"/>
    <col min="4" max="4" width="14.26953125" style="376" bestFit="1" customWidth="1"/>
    <col min="5" max="5" width="8.26953125" style="375" customWidth="1"/>
    <col min="6" max="6" width="7.54296875" style="375" customWidth="1"/>
    <col min="7" max="7" width="8" style="375" customWidth="1"/>
    <col min="8" max="11" width="7.54296875" style="375" customWidth="1"/>
    <col min="12" max="12" width="7.7265625" style="375" customWidth="1"/>
    <col min="13" max="19" width="7.54296875" style="375" customWidth="1"/>
    <col min="20" max="20" width="10.1796875" style="375" customWidth="1"/>
    <col min="21" max="21" width="9.1796875" style="380"/>
    <col min="22" max="22" width="9.1796875" style="380" hidden="1" customWidth="1"/>
    <col min="23" max="23" width="10.453125" style="380" hidden="1" customWidth="1"/>
    <col min="24" max="24" width="10" style="380" hidden="1" customWidth="1"/>
    <col min="25" max="25" width="10.7265625" style="380" hidden="1" customWidth="1"/>
    <col min="26" max="16384" width="9.1796875" style="380"/>
  </cols>
  <sheetData>
    <row r="2" spans="1:34" x14ac:dyDescent="0.3">
      <c r="G2" s="377">
        <v>1</v>
      </c>
      <c r="H2" s="378">
        <v>2</v>
      </c>
      <c r="I2" s="378">
        <v>3</v>
      </c>
      <c r="J2" s="378">
        <v>4</v>
      </c>
      <c r="K2" s="378">
        <v>5</v>
      </c>
      <c r="L2" s="378">
        <v>6</v>
      </c>
      <c r="M2" s="378">
        <v>7</v>
      </c>
      <c r="N2" s="378">
        <v>8</v>
      </c>
      <c r="O2" s="378">
        <v>9</v>
      </c>
      <c r="P2" s="378">
        <v>10</v>
      </c>
      <c r="Q2" s="378">
        <v>11</v>
      </c>
      <c r="R2" s="378">
        <v>12</v>
      </c>
      <c r="S2" s="378">
        <v>13</v>
      </c>
      <c r="T2" s="379"/>
      <c r="V2" s="831" t="s">
        <v>248</v>
      </c>
      <c r="W2" s="831"/>
      <c r="X2" s="831"/>
      <c r="Y2" s="831"/>
    </row>
    <row r="3" spans="1:34" ht="30" customHeight="1" x14ac:dyDescent="0.3">
      <c r="A3" s="436"/>
      <c r="B3" s="832" t="s">
        <v>387</v>
      </c>
      <c r="C3" s="833"/>
      <c r="D3" s="620" t="s">
        <v>2</v>
      </c>
      <c r="E3" s="436">
        <f>'2. Tulud-kulud projektiga'!D3</f>
        <v>2024</v>
      </c>
      <c r="F3" s="436">
        <f>'2. Tulud-kulud projektiga'!E3</f>
        <v>2025</v>
      </c>
      <c r="G3" s="436">
        <f>'2. Tulud-kulud projektiga'!F3</f>
        <v>2026</v>
      </c>
      <c r="H3" s="382">
        <f>'2. Tulud-kulud projektiga'!G3</f>
        <v>2027</v>
      </c>
      <c r="I3" s="382">
        <f>'2. Tulud-kulud projektiga'!H3</f>
        <v>2028</v>
      </c>
      <c r="J3" s="382">
        <f>'2. Tulud-kulud projektiga'!I3</f>
        <v>2029</v>
      </c>
      <c r="K3" s="382">
        <f>'2. Tulud-kulud projektiga'!J3</f>
        <v>2030</v>
      </c>
      <c r="L3" s="382">
        <f>'2. Tulud-kulud projektiga'!K3</f>
        <v>2031</v>
      </c>
      <c r="M3" s="382">
        <f>'2. Tulud-kulud projektiga'!L3</f>
        <v>2032</v>
      </c>
      <c r="N3" s="382">
        <f>'2. Tulud-kulud projektiga'!M3</f>
        <v>2033</v>
      </c>
      <c r="O3" s="382">
        <f>'2. Tulud-kulud projektiga'!N3</f>
        <v>2034</v>
      </c>
      <c r="P3" s="382">
        <f>'2. Tulud-kulud projektiga'!O3</f>
        <v>2035</v>
      </c>
      <c r="Q3" s="382">
        <f>'2. Tulud-kulud projektiga'!P3</f>
        <v>2036</v>
      </c>
      <c r="R3" s="382">
        <f>'2. Tulud-kulud projektiga'!Q3</f>
        <v>2037</v>
      </c>
      <c r="S3" s="382">
        <f>'2. Tulud-kulud projektiga'!R3</f>
        <v>2038</v>
      </c>
      <c r="T3" s="383" t="s">
        <v>342</v>
      </c>
      <c r="U3" s="375"/>
      <c r="V3" s="382" t="s">
        <v>249</v>
      </c>
      <c r="W3" s="384" t="s">
        <v>250</v>
      </c>
      <c r="X3" s="382" t="s">
        <v>251</v>
      </c>
      <c r="Y3" s="382" t="s">
        <v>319</v>
      </c>
      <c r="Z3" s="375"/>
      <c r="AA3" s="375"/>
      <c r="AB3" s="375"/>
      <c r="AC3" s="375"/>
      <c r="AD3" s="375"/>
      <c r="AE3" s="375"/>
      <c r="AF3" s="375"/>
      <c r="AG3" s="375"/>
      <c r="AH3" s="375"/>
    </row>
    <row r="4" spans="1:34" x14ac:dyDescent="0.3">
      <c r="A4" s="689" t="s">
        <v>485</v>
      </c>
      <c r="B4" s="437"/>
      <c r="C4" s="437"/>
      <c r="D4" s="438"/>
      <c r="E4" s="439"/>
      <c r="F4" s="439"/>
      <c r="G4" s="439"/>
      <c r="H4" s="379"/>
      <c r="I4" s="379"/>
      <c r="J4" s="379"/>
      <c r="K4" s="379"/>
      <c r="L4" s="379"/>
      <c r="M4" s="379"/>
      <c r="N4" s="379"/>
      <c r="O4" s="379"/>
      <c r="P4" s="379"/>
      <c r="Q4" s="379"/>
      <c r="R4" s="379"/>
      <c r="S4" s="379"/>
      <c r="T4" s="385"/>
      <c r="U4" s="375"/>
      <c r="V4" s="379"/>
      <c r="W4" s="379"/>
      <c r="X4" s="379"/>
      <c r="Y4" s="379"/>
      <c r="Z4" s="375"/>
      <c r="AA4" s="375"/>
      <c r="AB4" s="375"/>
      <c r="AC4" s="375"/>
      <c r="AD4" s="375"/>
      <c r="AE4" s="375"/>
      <c r="AF4" s="375"/>
      <c r="AG4" s="375"/>
      <c r="AH4" s="375"/>
    </row>
    <row r="5" spans="1:34" x14ac:dyDescent="0.3">
      <c r="A5" s="437"/>
      <c r="B5" s="437"/>
      <c r="C5" s="437"/>
      <c r="D5" s="438"/>
      <c r="E5" s="439"/>
      <c r="F5" s="439"/>
      <c r="G5" s="439"/>
      <c r="H5" s="379"/>
      <c r="I5" s="379"/>
      <c r="J5" s="379"/>
      <c r="K5" s="379"/>
      <c r="L5" s="379"/>
      <c r="M5" s="379"/>
      <c r="N5" s="379"/>
      <c r="O5" s="379"/>
      <c r="P5" s="379"/>
      <c r="Q5" s="379"/>
      <c r="R5" s="379"/>
      <c r="S5" s="379"/>
      <c r="T5" s="385"/>
      <c r="U5" s="375"/>
      <c r="V5" s="379"/>
      <c r="W5" s="379"/>
      <c r="X5" s="379"/>
      <c r="Y5" s="379"/>
      <c r="Z5" s="375"/>
      <c r="AA5" s="375"/>
      <c r="AB5" s="375"/>
      <c r="AC5" s="375"/>
      <c r="AD5" s="375"/>
      <c r="AE5" s="375"/>
      <c r="AF5" s="375"/>
      <c r="AG5" s="375"/>
      <c r="AH5" s="375"/>
    </row>
    <row r="6" spans="1:34" x14ac:dyDescent="0.3">
      <c r="A6" s="440" t="s">
        <v>486</v>
      </c>
      <c r="B6" s="437"/>
      <c r="C6" s="437"/>
      <c r="D6" s="438"/>
      <c r="E6" s="439"/>
      <c r="F6" s="439"/>
      <c r="G6" s="621">
        <f>G10</f>
        <v>8.4</v>
      </c>
      <c r="H6" s="621">
        <f t="shared" ref="H6:S6" si="0">H10</f>
        <v>16.8</v>
      </c>
      <c r="I6" s="621">
        <f t="shared" si="0"/>
        <v>26.4</v>
      </c>
      <c r="J6" s="621">
        <f t="shared" si="0"/>
        <v>36</v>
      </c>
      <c r="K6" s="621">
        <f t="shared" si="0"/>
        <v>51</v>
      </c>
      <c r="L6" s="621">
        <f t="shared" si="0"/>
        <v>66</v>
      </c>
      <c r="M6" s="621">
        <f t="shared" si="0"/>
        <v>81</v>
      </c>
      <c r="N6" s="621">
        <f t="shared" si="0"/>
        <v>96</v>
      </c>
      <c r="O6" s="621">
        <f t="shared" si="0"/>
        <v>111</v>
      </c>
      <c r="P6" s="621">
        <f t="shared" si="0"/>
        <v>126</v>
      </c>
      <c r="Q6" s="621">
        <f t="shared" si="0"/>
        <v>141</v>
      </c>
      <c r="R6" s="621">
        <f t="shared" si="0"/>
        <v>156</v>
      </c>
      <c r="S6" s="621">
        <f t="shared" si="0"/>
        <v>171</v>
      </c>
      <c r="T6" s="622">
        <f>S6</f>
        <v>171</v>
      </c>
      <c r="U6" s="375"/>
      <c r="V6" s="387">
        <f>I6</f>
        <v>26.4</v>
      </c>
      <c r="W6" s="387">
        <f>K6</f>
        <v>51</v>
      </c>
      <c r="X6" s="387">
        <f>P6</f>
        <v>126</v>
      </c>
      <c r="Y6" s="387">
        <f>S6</f>
        <v>171</v>
      </c>
      <c r="Z6" s="375"/>
      <c r="AA6" s="375"/>
      <c r="AB6" s="375"/>
      <c r="AC6" s="375"/>
      <c r="AD6" s="375"/>
      <c r="AE6" s="375"/>
      <c r="AF6" s="375"/>
      <c r="AG6" s="375"/>
      <c r="AH6" s="375"/>
    </row>
    <row r="7" spans="1:34" x14ac:dyDescent="0.3">
      <c r="A7" s="486" t="s">
        <v>487</v>
      </c>
      <c r="B7" s="439"/>
      <c r="C7" s="439"/>
      <c r="D7" s="438" t="s">
        <v>492</v>
      </c>
      <c r="E7" s="441"/>
      <c r="F7" s="442"/>
      <c r="G7" s="442">
        <f>'Eeldused SotsMajand. moju'!C7</f>
        <v>14</v>
      </c>
      <c r="H7" s="442">
        <f>'Eeldused SotsMajand. moju'!D7</f>
        <v>14</v>
      </c>
      <c r="I7" s="442">
        <f>'Eeldused SotsMajand. moju'!E7</f>
        <v>16</v>
      </c>
      <c r="J7" s="442">
        <f>'Eeldused SotsMajand. moju'!F7</f>
        <v>16</v>
      </c>
      <c r="K7" s="442">
        <f>'Eeldused SotsMajand. moju'!G7</f>
        <v>25</v>
      </c>
      <c r="L7" s="442">
        <f>'Eeldused SotsMajand. moju'!H7</f>
        <v>25</v>
      </c>
      <c r="M7" s="442">
        <f>'Eeldused SotsMajand. moju'!I7</f>
        <v>25</v>
      </c>
      <c r="N7" s="442">
        <f>'Eeldused SotsMajand. moju'!J7</f>
        <v>25</v>
      </c>
      <c r="O7" s="442">
        <f>'Eeldused SotsMajand. moju'!K7</f>
        <v>25</v>
      </c>
      <c r="P7" s="442">
        <f>O7</f>
        <v>25</v>
      </c>
      <c r="Q7" s="442">
        <f t="shared" ref="Q7:S7" si="1">P7</f>
        <v>25</v>
      </c>
      <c r="R7" s="442">
        <f t="shared" si="1"/>
        <v>25</v>
      </c>
      <c r="S7" s="442">
        <f t="shared" si="1"/>
        <v>25</v>
      </c>
      <c r="T7" s="386">
        <f>SUM(G7:S7)</f>
        <v>285</v>
      </c>
      <c r="U7" s="375"/>
      <c r="V7" s="387"/>
      <c r="W7" s="387"/>
      <c r="X7" s="387"/>
      <c r="Y7" s="387"/>
      <c r="Z7" s="375"/>
      <c r="AA7" s="375"/>
      <c r="AB7" s="375"/>
      <c r="AC7" s="375"/>
      <c r="AD7" s="375"/>
      <c r="AE7" s="375"/>
      <c r="AF7" s="375"/>
      <c r="AG7" s="375"/>
      <c r="AH7" s="375"/>
    </row>
    <row r="8" spans="1:34" x14ac:dyDescent="0.3">
      <c r="A8" s="486" t="s">
        <v>488</v>
      </c>
      <c r="B8" s="447">
        <f>'Eeldused SotsMajand. moju'!B12</f>
        <v>0.6</v>
      </c>
      <c r="C8" s="439"/>
      <c r="D8" s="438"/>
      <c r="E8" s="441"/>
      <c r="F8" s="442"/>
      <c r="G8" s="589">
        <f>B8</f>
        <v>0.6</v>
      </c>
      <c r="H8" s="588">
        <f>G8</f>
        <v>0.6</v>
      </c>
      <c r="I8" s="588">
        <f t="shared" ref="I8:S8" si="2">H8</f>
        <v>0.6</v>
      </c>
      <c r="J8" s="588">
        <f t="shared" si="2"/>
        <v>0.6</v>
      </c>
      <c r="K8" s="588">
        <f t="shared" si="2"/>
        <v>0.6</v>
      </c>
      <c r="L8" s="588">
        <f t="shared" si="2"/>
        <v>0.6</v>
      </c>
      <c r="M8" s="588">
        <f t="shared" si="2"/>
        <v>0.6</v>
      </c>
      <c r="N8" s="588">
        <f t="shared" si="2"/>
        <v>0.6</v>
      </c>
      <c r="O8" s="588">
        <f t="shared" si="2"/>
        <v>0.6</v>
      </c>
      <c r="P8" s="588">
        <f t="shared" si="2"/>
        <v>0.6</v>
      </c>
      <c r="Q8" s="588">
        <f t="shared" si="2"/>
        <v>0.6</v>
      </c>
      <c r="R8" s="588">
        <f t="shared" si="2"/>
        <v>0.6</v>
      </c>
      <c r="S8" s="588">
        <f t="shared" si="2"/>
        <v>0.6</v>
      </c>
      <c r="T8" s="379"/>
      <c r="U8" s="375"/>
      <c r="V8" s="387"/>
      <c r="W8" s="387"/>
      <c r="X8" s="387"/>
      <c r="Y8" s="387"/>
      <c r="Z8" s="375"/>
      <c r="AA8" s="375"/>
      <c r="AB8" s="375"/>
      <c r="AC8" s="375"/>
      <c r="AD8" s="375"/>
      <c r="AE8" s="375"/>
      <c r="AF8" s="375"/>
      <c r="AG8" s="375"/>
      <c r="AH8" s="375"/>
    </row>
    <row r="9" spans="1:34" hidden="1" x14ac:dyDescent="0.3">
      <c r="A9" s="486"/>
      <c r="B9" s="447"/>
      <c r="C9" s="439"/>
      <c r="D9" s="438"/>
      <c r="E9" s="441"/>
      <c r="F9" s="442"/>
      <c r="G9" s="448">
        <f>G7*G8</f>
        <v>8.4</v>
      </c>
      <c r="H9" s="448">
        <f>H7*H8</f>
        <v>8.4</v>
      </c>
      <c r="I9" s="448">
        <f>I7*I8</f>
        <v>9.6</v>
      </c>
      <c r="J9" s="448">
        <f>J7*J8</f>
        <v>9.6</v>
      </c>
      <c r="K9" s="448">
        <f>K7*K8</f>
        <v>15</v>
      </c>
      <c r="L9" s="448">
        <f t="shared" ref="L9:S9" si="3">L7*L8</f>
        <v>15</v>
      </c>
      <c r="M9" s="448">
        <f t="shared" si="3"/>
        <v>15</v>
      </c>
      <c r="N9" s="448">
        <f t="shared" si="3"/>
        <v>15</v>
      </c>
      <c r="O9" s="448">
        <f t="shared" si="3"/>
        <v>15</v>
      </c>
      <c r="P9" s="448">
        <f t="shared" si="3"/>
        <v>15</v>
      </c>
      <c r="Q9" s="448">
        <f t="shared" si="3"/>
        <v>15</v>
      </c>
      <c r="R9" s="448">
        <f t="shared" si="3"/>
        <v>15</v>
      </c>
      <c r="S9" s="441">
        <f t="shared" si="3"/>
        <v>15</v>
      </c>
      <c r="T9" s="387">
        <f>SUM(G9:S9)</f>
        <v>171</v>
      </c>
      <c r="U9" s="375"/>
      <c r="V9" s="387"/>
      <c r="W9" s="387"/>
      <c r="X9" s="387"/>
      <c r="Y9" s="387"/>
      <c r="Z9" s="375"/>
      <c r="AA9" s="375"/>
      <c r="AB9" s="375"/>
      <c r="AC9" s="375"/>
      <c r="AD9" s="375"/>
      <c r="AE9" s="375"/>
      <c r="AF9" s="375"/>
      <c r="AG9" s="375"/>
      <c r="AH9" s="375"/>
    </row>
    <row r="10" spans="1:34" ht="28" x14ac:dyDescent="0.3">
      <c r="A10" s="623" t="s">
        <v>489</v>
      </c>
      <c r="B10" s="439"/>
      <c r="C10" s="439"/>
      <c r="D10" s="438" t="s">
        <v>492</v>
      </c>
      <c r="E10" s="441"/>
      <c r="F10" s="441"/>
      <c r="G10" s="585">
        <f>G9</f>
        <v>8.4</v>
      </c>
      <c r="H10" s="585">
        <f>G10+H9</f>
        <v>16.8</v>
      </c>
      <c r="I10" s="585">
        <f t="shared" ref="I10:S10" si="4">H10+I9</f>
        <v>26.4</v>
      </c>
      <c r="J10" s="585">
        <f t="shared" si="4"/>
        <v>36</v>
      </c>
      <c r="K10" s="585">
        <f t="shared" si="4"/>
        <v>51</v>
      </c>
      <c r="L10" s="585">
        <f t="shared" si="4"/>
        <v>66</v>
      </c>
      <c r="M10" s="585">
        <f t="shared" si="4"/>
        <v>81</v>
      </c>
      <c r="N10" s="585">
        <f t="shared" si="4"/>
        <v>96</v>
      </c>
      <c r="O10" s="585">
        <f t="shared" si="4"/>
        <v>111</v>
      </c>
      <c r="P10" s="585">
        <f t="shared" si="4"/>
        <v>126</v>
      </c>
      <c r="Q10" s="585">
        <f t="shared" si="4"/>
        <v>141</v>
      </c>
      <c r="R10" s="585">
        <f t="shared" si="4"/>
        <v>156</v>
      </c>
      <c r="S10" s="585">
        <f t="shared" si="4"/>
        <v>171</v>
      </c>
      <c r="T10" s="387">
        <f>S10</f>
        <v>171</v>
      </c>
      <c r="U10" s="375"/>
      <c r="V10" s="387">
        <f>I10</f>
        <v>26.4</v>
      </c>
      <c r="W10" s="387">
        <f>K10</f>
        <v>51</v>
      </c>
      <c r="X10" s="387">
        <f>P10</f>
        <v>126</v>
      </c>
      <c r="Y10" s="387">
        <f>S10</f>
        <v>171</v>
      </c>
      <c r="Z10" s="375"/>
      <c r="AA10" s="375"/>
      <c r="AB10" s="375"/>
      <c r="AC10" s="375"/>
      <c r="AD10" s="375"/>
      <c r="AE10" s="375"/>
      <c r="AF10" s="375"/>
      <c r="AG10" s="375"/>
      <c r="AH10" s="375"/>
    </row>
    <row r="11" spans="1:34" hidden="1" x14ac:dyDescent="0.3">
      <c r="A11" s="486" t="s">
        <v>320</v>
      </c>
      <c r="B11" s="439"/>
      <c r="C11" s="439"/>
      <c r="D11" s="438"/>
      <c r="E11" s="441"/>
      <c r="F11" s="441"/>
      <c r="G11" s="585"/>
      <c r="H11" s="585"/>
      <c r="I11" s="585"/>
      <c r="J11" s="585"/>
      <c r="K11" s="585"/>
      <c r="L11" s="585"/>
      <c r="M11" s="585"/>
      <c r="N11" s="585"/>
      <c r="O11" s="585"/>
      <c r="P11" s="585"/>
      <c r="Q11" s="585"/>
      <c r="R11" s="585"/>
      <c r="S11" s="585"/>
      <c r="T11" s="387"/>
      <c r="U11" s="375"/>
      <c r="V11" s="387"/>
      <c r="W11" s="387"/>
      <c r="X11" s="387"/>
      <c r="Y11" s="387"/>
      <c r="Z11" s="375"/>
      <c r="AA11" s="375"/>
      <c r="AB11" s="375"/>
      <c r="AC11" s="375"/>
      <c r="AD11" s="375"/>
      <c r="AE11" s="375"/>
      <c r="AF11" s="375"/>
      <c r="AG11" s="375"/>
      <c r="AH11" s="375"/>
    </row>
    <row r="12" spans="1:34" hidden="1" x14ac:dyDescent="0.3">
      <c r="A12" s="486" t="s">
        <v>321</v>
      </c>
      <c r="B12" s="439"/>
      <c r="C12" s="439"/>
      <c r="D12" s="438"/>
      <c r="E12" s="441"/>
      <c r="F12" s="441"/>
      <c r="G12" s="585">
        <f>G9</f>
        <v>8.4</v>
      </c>
      <c r="H12" s="585">
        <f>G9+H9</f>
        <v>16.8</v>
      </c>
      <c r="I12" s="585">
        <f t="shared" ref="I12:O12" si="5">G9+H9+I9</f>
        <v>26.4</v>
      </c>
      <c r="J12" s="585">
        <f t="shared" si="5"/>
        <v>27.6</v>
      </c>
      <c r="K12" s="585">
        <f t="shared" si="5"/>
        <v>34.200000000000003</v>
      </c>
      <c r="L12" s="585">
        <f t="shared" si="5"/>
        <v>39.6</v>
      </c>
      <c r="M12" s="585">
        <f t="shared" si="5"/>
        <v>45</v>
      </c>
      <c r="N12" s="585">
        <f t="shared" si="5"/>
        <v>45</v>
      </c>
      <c r="O12" s="585">
        <f t="shared" si="5"/>
        <v>45</v>
      </c>
      <c r="P12" s="585">
        <f>O9+P9</f>
        <v>30</v>
      </c>
      <c r="Q12" s="585">
        <f>O9+P9+Q9</f>
        <v>45</v>
      </c>
      <c r="R12" s="585">
        <f>P9+Q9+R9</f>
        <v>45</v>
      </c>
      <c r="S12" s="585">
        <f>Q9+R9+S9</f>
        <v>45</v>
      </c>
      <c r="T12" s="387"/>
      <c r="U12" s="375"/>
      <c r="V12" s="387">
        <f t="shared" ref="V12:V16" si="6">I12</f>
        <v>26.4</v>
      </c>
      <c r="W12" s="387">
        <f t="shared" ref="W12:W16" si="7">K12</f>
        <v>34.200000000000003</v>
      </c>
      <c r="X12" s="387">
        <f t="shared" ref="X12:X16" si="8">P12</f>
        <v>30</v>
      </c>
      <c r="Y12" s="387">
        <f t="shared" ref="Y12:Y16" si="9">S12</f>
        <v>45</v>
      </c>
      <c r="Z12" s="375"/>
      <c r="AA12" s="375"/>
      <c r="AB12" s="375"/>
      <c r="AC12" s="375"/>
      <c r="AD12" s="375"/>
      <c r="AE12" s="375"/>
      <c r="AF12" s="375"/>
      <c r="AG12" s="375"/>
      <c r="AH12" s="375"/>
    </row>
    <row r="13" spans="1:34" hidden="1" x14ac:dyDescent="0.3">
      <c r="A13" s="486" t="s">
        <v>322</v>
      </c>
      <c r="B13" s="439"/>
      <c r="C13" s="439"/>
      <c r="D13" s="438"/>
      <c r="E13" s="441"/>
      <c r="F13" s="441"/>
      <c r="G13" s="585"/>
      <c r="H13" s="585"/>
      <c r="I13" s="585"/>
      <c r="J13" s="585">
        <f>G9</f>
        <v>8.4</v>
      </c>
      <c r="K13" s="585">
        <f t="shared" ref="K13:S13" si="10">G9+H9</f>
        <v>16.8</v>
      </c>
      <c r="L13" s="585">
        <f t="shared" si="10"/>
        <v>18</v>
      </c>
      <c r="M13" s="585">
        <f t="shared" si="10"/>
        <v>19.2</v>
      </c>
      <c r="N13" s="585">
        <f t="shared" si="10"/>
        <v>24.6</v>
      </c>
      <c r="O13" s="585">
        <f t="shared" si="10"/>
        <v>30</v>
      </c>
      <c r="P13" s="585">
        <f t="shared" si="10"/>
        <v>30</v>
      </c>
      <c r="Q13" s="585">
        <f t="shared" si="10"/>
        <v>30</v>
      </c>
      <c r="R13" s="585">
        <f t="shared" si="10"/>
        <v>30</v>
      </c>
      <c r="S13" s="585">
        <f t="shared" si="10"/>
        <v>30</v>
      </c>
      <c r="T13" s="387"/>
      <c r="U13" s="375"/>
      <c r="V13" s="387">
        <f t="shared" si="6"/>
        <v>0</v>
      </c>
      <c r="W13" s="387">
        <f t="shared" si="7"/>
        <v>16.8</v>
      </c>
      <c r="X13" s="387">
        <f t="shared" si="8"/>
        <v>30</v>
      </c>
      <c r="Y13" s="387">
        <f t="shared" si="9"/>
        <v>30</v>
      </c>
      <c r="Z13" s="375"/>
      <c r="AA13" s="375"/>
      <c r="AB13" s="375"/>
      <c r="AC13" s="375"/>
      <c r="AD13" s="375"/>
      <c r="AE13" s="375"/>
      <c r="AF13" s="375"/>
      <c r="AG13" s="375"/>
      <c r="AH13" s="375"/>
    </row>
    <row r="14" spans="1:34" hidden="1" x14ac:dyDescent="0.3">
      <c r="A14" s="486" t="s">
        <v>323</v>
      </c>
      <c r="B14" s="439"/>
      <c r="C14" s="439"/>
      <c r="D14" s="438"/>
      <c r="E14" s="441"/>
      <c r="F14" s="441"/>
      <c r="G14" s="585"/>
      <c r="H14" s="585"/>
      <c r="I14" s="585"/>
      <c r="J14" s="585"/>
      <c r="K14" s="585"/>
      <c r="L14" s="585">
        <f>G9</f>
        <v>8.4</v>
      </c>
      <c r="M14" s="585">
        <f>G9+H9</f>
        <v>16.8</v>
      </c>
      <c r="N14" s="585">
        <f>G9+H9+I9</f>
        <v>26.4</v>
      </c>
      <c r="O14" s="585">
        <f>H9+I9+J9</f>
        <v>27.6</v>
      </c>
      <c r="P14" s="585">
        <f>I9+J9+K9</f>
        <v>34.200000000000003</v>
      </c>
      <c r="Q14" s="585">
        <f>J9+K9+L9</f>
        <v>39.6</v>
      </c>
      <c r="R14" s="585">
        <f>K9+L9+M9</f>
        <v>45</v>
      </c>
      <c r="S14" s="585">
        <f>M9+N9</f>
        <v>30</v>
      </c>
      <c r="T14" s="387"/>
      <c r="U14" s="375"/>
      <c r="V14" s="387">
        <f t="shared" si="6"/>
        <v>0</v>
      </c>
      <c r="W14" s="387">
        <f t="shared" si="7"/>
        <v>0</v>
      </c>
      <c r="X14" s="387">
        <f t="shared" si="8"/>
        <v>34.200000000000003</v>
      </c>
      <c r="Y14" s="387">
        <f t="shared" si="9"/>
        <v>30</v>
      </c>
      <c r="Z14" s="375"/>
      <c r="AA14" s="375"/>
      <c r="AB14" s="375"/>
      <c r="AC14" s="375"/>
      <c r="AD14" s="375"/>
      <c r="AE14" s="375"/>
      <c r="AF14" s="375"/>
      <c r="AG14" s="375"/>
      <c r="AH14" s="375"/>
    </row>
    <row r="15" spans="1:34" ht="16.5" hidden="1" customHeight="1" x14ac:dyDescent="0.3">
      <c r="A15" s="486" t="s">
        <v>324</v>
      </c>
      <c r="B15" s="439"/>
      <c r="C15" s="439"/>
      <c r="D15" s="438"/>
      <c r="E15" s="441"/>
      <c r="F15" s="441"/>
      <c r="G15" s="585"/>
      <c r="H15" s="585"/>
      <c r="I15" s="585"/>
      <c r="J15" s="585"/>
      <c r="K15" s="585"/>
      <c r="L15" s="585"/>
      <c r="M15" s="585"/>
      <c r="N15" s="585"/>
      <c r="O15" s="585">
        <f>G9</f>
        <v>8.4</v>
      </c>
      <c r="P15" s="585">
        <f>G9+H9</f>
        <v>16.8</v>
      </c>
      <c r="Q15" s="585">
        <f>H9+I9</f>
        <v>18</v>
      </c>
      <c r="R15" s="585">
        <f>I9+J9</f>
        <v>19.2</v>
      </c>
      <c r="S15" s="585">
        <f>J9+K9+L9</f>
        <v>39.6</v>
      </c>
      <c r="T15" s="387"/>
      <c r="U15" s="375"/>
      <c r="V15" s="387">
        <f t="shared" si="6"/>
        <v>0</v>
      </c>
      <c r="W15" s="387">
        <f t="shared" si="7"/>
        <v>0</v>
      </c>
      <c r="X15" s="387">
        <f t="shared" si="8"/>
        <v>16.8</v>
      </c>
      <c r="Y15" s="387">
        <f t="shared" si="9"/>
        <v>39.6</v>
      </c>
      <c r="Z15" s="375"/>
      <c r="AA15" s="375"/>
      <c r="AB15" s="375"/>
      <c r="AC15" s="375"/>
      <c r="AD15" s="375"/>
      <c r="AE15" s="375"/>
      <c r="AF15" s="375"/>
      <c r="AG15" s="375"/>
      <c r="AH15" s="375"/>
    </row>
    <row r="16" spans="1:34" ht="15" hidden="1" customHeight="1" x14ac:dyDescent="0.3">
      <c r="A16" s="486" t="s">
        <v>325</v>
      </c>
      <c r="B16" s="439"/>
      <c r="C16" s="439"/>
      <c r="D16" s="438"/>
      <c r="E16" s="441"/>
      <c r="F16" s="441"/>
      <c r="G16" s="585"/>
      <c r="H16" s="585"/>
      <c r="I16" s="585"/>
      <c r="J16" s="585"/>
      <c r="K16" s="585"/>
      <c r="L16" s="585"/>
      <c r="M16" s="585"/>
      <c r="N16" s="585"/>
      <c r="O16" s="585"/>
      <c r="P16" s="585"/>
      <c r="Q16" s="585">
        <f>G9</f>
        <v>8.4</v>
      </c>
      <c r="R16" s="585">
        <f>G9+H9</f>
        <v>16.8</v>
      </c>
      <c r="S16" s="585">
        <f>G9+H9+I9</f>
        <v>26.4</v>
      </c>
      <c r="T16" s="387"/>
      <c r="U16" s="375"/>
      <c r="V16" s="387">
        <f t="shared" si="6"/>
        <v>0</v>
      </c>
      <c r="W16" s="387">
        <f t="shared" si="7"/>
        <v>0</v>
      </c>
      <c r="X16" s="387">
        <f t="shared" si="8"/>
        <v>0</v>
      </c>
      <c r="Y16" s="387">
        <f t="shared" si="9"/>
        <v>26.4</v>
      </c>
      <c r="Z16" s="375"/>
      <c r="AA16" s="375"/>
      <c r="AB16" s="375"/>
      <c r="AC16" s="375"/>
      <c r="AD16" s="375"/>
      <c r="AE16" s="375"/>
      <c r="AF16" s="375"/>
      <c r="AG16" s="375"/>
      <c r="AH16" s="375"/>
    </row>
    <row r="17" spans="1:34" hidden="1" x14ac:dyDescent="0.3">
      <c r="A17" s="486"/>
      <c r="B17" s="439"/>
      <c r="C17" s="439"/>
      <c r="D17" s="438"/>
      <c r="E17" s="441"/>
      <c r="F17" s="441"/>
      <c r="G17" s="585"/>
      <c r="H17" s="585"/>
      <c r="I17" s="585"/>
      <c r="J17" s="585"/>
      <c r="K17" s="585"/>
      <c r="L17" s="585"/>
      <c r="M17" s="585"/>
      <c r="N17" s="585"/>
      <c r="O17" s="585"/>
      <c r="P17" s="585"/>
      <c r="Q17" s="585"/>
      <c r="R17" s="585"/>
      <c r="S17" s="585"/>
      <c r="T17" s="387"/>
      <c r="U17" s="375"/>
      <c r="V17" s="387"/>
      <c r="W17" s="387"/>
      <c r="X17" s="387"/>
      <c r="Y17" s="387"/>
      <c r="Z17" s="375"/>
      <c r="AA17" s="375"/>
      <c r="AB17" s="375"/>
      <c r="AC17" s="375"/>
      <c r="AD17" s="375"/>
      <c r="AE17" s="375"/>
      <c r="AF17" s="375"/>
      <c r="AG17" s="375"/>
      <c r="AH17" s="375"/>
    </row>
    <row r="18" spans="1:34" x14ac:dyDescent="0.3">
      <c r="A18" s="440" t="s">
        <v>379</v>
      </c>
      <c r="B18" s="443"/>
      <c r="C18" s="444"/>
      <c r="D18" s="438" t="s">
        <v>491</v>
      </c>
      <c r="E18" s="446"/>
      <c r="F18" s="446"/>
      <c r="G18" s="446">
        <f>G12*'Eeldused SotsMajand. moju'!$B$24+G13*'Eeldused SotsMajand. moju'!$C$24+G14*'Eeldused SotsMajand. moju'!$D$24+G15*'Eeldused SotsMajand. moju'!$E$24+G16*'Eeldused SotsMajand. moju'!$F$24</f>
        <v>1680000</v>
      </c>
      <c r="H18" s="446">
        <f>H12*'Eeldused SotsMajand. moju'!$B$24+H13*'Eeldused SotsMajand. moju'!$C$24+H14*'Eeldused SotsMajand. moju'!$D$24+H15*'Eeldused SotsMajand. moju'!$E$24+H16*'Eeldused SotsMajand. moju'!$F$24</f>
        <v>3360000</v>
      </c>
      <c r="I18" s="446">
        <f>I12*'Eeldused SotsMajand. moju'!$B$24+I13*'Eeldused SotsMajand. moju'!$C$24+I14*'Eeldused SotsMajand. moju'!$D$24+I15*'Eeldused SotsMajand. moju'!$E$24+I16*'Eeldused SotsMajand. moju'!$F$24</f>
        <v>5280000</v>
      </c>
      <c r="J18" s="446">
        <f>J12*'Eeldused SotsMajand. moju'!$B$24+J13*'Eeldused SotsMajand. moju'!$C$24+J14*'Eeldused SotsMajand. moju'!$D$24+J15*'Eeldused SotsMajand. moju'!$E$24+J16*'Eeldused SotsMajand. moju'!$F$24</f>
        <v>8880000</v>
      </c>
      <c r="K18" s="446">
        <f>K12*'Eeldused SotsMajand. moju'!$B$24+K13*'Eeldused SotsMajand. moju'!$C$24+K14*'Eeldused SotsMajand. moju'!$D$24+K15*'Eeldused SotsMajand. moju'!$E$24+K16*'Eeldused SotsMajand. moju'!$F$24</f>
        <v>13560000</v>
      </c>
      <c r="L18" s="446">
        <f>L12*'Eeldused SotsMajand. moju'!$B$24+L13*'Eeldused SotsMajand. moju'!$C$24+L14*'Eeldused SotsMajand. moju'!$D$24+L15*'Eeldused SotsMajand. moju'!$E$24+L16*'Eeldused SotsMajand. moju'!$F$24</f>
        <v>18480000</v>
      </c>
      <c r="M18" s="446">
        <f>M12*'Eeldused SotsMajand. moju'!$B$24+M13*'Eeldused SotsMajand. moju'!$C$24+M14*'Eeldused SotsMajand. moju'!$D$24+M15*'Eeldused SotsMajand. moju'!$E$24+M16*'Eeldused SotsMajand. moju'!$F$24</f>
        <v>23400000</v>
      </c>
      <c r="N18" s="446">
        <f>N12*'Eeldused SotsMajand. moju'!$B$24+N13*'Eeldused SotsMajand. moju'!$C$24+N14*'Eeldused SotsMajand. moju'!$D$24+N15*'Eeldused SotsMajand. moju'!$E$24+N16*'Eeldused SotsMajand. moju'!$F$24</f>
        <v>29400000</v>
      </c>
      <c r="O18" s="446">
        <f>O12*'Eeldused SotsMajand. moju'!$B$24+O13*'Eeldused SotsMajand. moju'!$C$24+O14*'Eeldused SotsMajand. moju'!$D$24+O15*'Eeldused SotsMajand. moju'!$E$24+O16*'Eeldused SotsMajand. moju'!$F$24</f>
        <v>37080000</v>
      </c>
      <c r="P18" s="446">
        <f>P12*'Eeldused SotsMajand. moju'!$B$24+P13*'Eeldused SotsMajand. moju'!$C$24+P14*'Eeldused SotsMajand. moju'!$D$24+P15*'Eeldused SotsMajand. moju'!$E$24+P16*'Eeldused SotsMajand. moju'!$F$24</f>
        <v>41760000</v>
      </c>
      <c r="Q18" s="446">
        <f>Q12*'Eeldused SotsMajand. moju'!$B$24+Q13*'Eeldused SotsMajand. moju'!$C$24+Q14*'Eeldused SotsMajand. moju'!$D$24+Q15*'Eeldused SotsMajand. moju'!$E$24+Q16*'Eeldused SotsMajand. moju'!$F$24</f>
        <v>56040000</v>
      </c>
      <c r="R18" s="446">
        <f>R12*'Eeldused SotsMajand. moju'!$B$24+R13*'Eeldused SotsMajand. moju'!$C$24+R14*'Eeldused SotsMajand. moju'!$D$24+R15*'Eeldused SotsMajand. moju'!$E$24+R16*'Eeldused SotsMajand. moju'!$F$24</f>
        <v>67320000</v>
      </c>
      <c r="S18" s="446">
        <f>S12*'Eeldused SotsMajand. moju'!$B$24+S13*'Eeldused SotsMajand. moju'!$C$24+S14*'Eeldused SotsMajand. moju'!$D$24+S15*'Eeldused SotsMajand. moju'!$E$24+S16*'Eeldused SotsMajand. moju'!$F$24</f>
        <v>83160000</v>
      </c>
      <c r="T18" s="389">
        <f>SUM(E18:S18)</f>
        <v>389400000</v>
      </c>
      <c r="U18" s="375"/>
      <c r="V18" s="446">
        <f>I18</f>
        <v>5280000</v>
      </c>
      <c r="W18" s="446">
        <f>K18</f>
        <v>13560000</v>
      </c>
      <c r="X18" s="446">
        <f>P18</f>
        <v>41760000</v>
      </c>
      <c r="Y18" s="446">
        <f>S18</f>
        <v>83160000</v>
      </c>
      <c r="Z18" s="375"/>
      <c r="AA18" s="375"/>
      <c r="AB18" s="375"/>
      <c r="AC18" s="375"/>
      <c r="AD18" s="375"/>
      <c r="AE18" s="375"/>
      <c r="AF18" s="375"/>
      <c r="AG18" s="375"/>
      <c r="AH18" s="375"/>
    </row>
    <row r="19" spans="1:34" x14ac:dyDescent="0.3">
      <c r="A19" s="440" t="s">
        <v>380</v>
      </c>
      <c r="B19" s="447"/>
      <c r="C19" s="444"/>
      <c r="D19" s="438" t="s">
        <v>491</v>
      </c>
      <c r="E19" s="445"/>
      <c r="F19" s="445"/>
      <c r="G19" s="446">
        <f>G12*'Eeldused SotsMajand. moju'!$B$24*'Eeldused SotsMajand. moju'!$B$27+G13*'Eeldused SotsMajand. moju'!$C$24*'Eeldused SotsMajand. moju'!$C$27+G14*'Eeldused SotsMajand. moju'!$D$24*'Eeldused SotsMajand. moju'!$D$27+G15*'Eeldused SotsMajand. moju'!$E$24*'Eeldused SotsMajand. moju'!$E$27+G16*'Eeldused SotsMajand. moju'!$F$24*'Eeldused SotsMajand. moju'!$F$27</f>
        <v>840000</v>
      </c>
      <c r="H19" s="446">
        <f>H12*'Eeldused SotsMajand. moju'!$B$24*'Eeldused SotsMajand. moju'!$B$27+H13*'Eeldused SotsMajand. moju'!$C$24*'Eeldused SotsMajand. moju'!$C$27+H14*'Eeldused SotsMajand. moju'!$D$24*'Eeldused SotsMajand. moju'!$D$27+H15*'Eeldused SotsMajand. moju'!$E$24*'Eeldused SotsMajand. moju'!$E$27+H16*'Eeldused SotsMajand. moju'!$F$24*'Eeldused SotsMajand. moju'!$F$27</f>
        <v>1680000</v>
      </c>
      <c r="I19" s="446">
        <f>I12*'Eeldused SotsMajand. moju'!$B$24*'Eeldused SotsMajand. moju'!$B$27+I13*'Eeldused SotsMajand. moju'!$C$24*'Eeldused SotsMajand. moju'!$C$27+I14*'Eeldused SotsMajand. moju'!$D$24*'Eeldused SotsMajand. moju'!$D$27+I15*'Eeldused SotsMajand. moju'!$E$24*'Eeldused SotsMajand. moju'!$E$27+I16*'Eeldused SotsMajand. moju'!$F$24*'Eeldused SotsMajand. moju'!$F$27</f>
        <v>2640000</v>
      </c>
      <c r="J19" s="446">
        <f>J12*'Eeldused SotsMajand. moju'!$B$24*'Eeldused SotsMajand. moju'!$B$27+J13*'Eeldused SotsMajand. moju'!$C$24*'Eeldused SotsMajand. moju'!$C$27+J14*'Eeldused SotsMajand. moju'!$D$24*'Eeldused SotsMajand. moju'!$D$27+J15*'Eeldused SotsMajand. moju'!$E$24*'Eeldused SotsMajand. moju'!$E$27+J16*'Eeldused SotsMajand. moju'!$F$24*'Eeldused SotsMajand. moju'!$F$27</f>
        <v>5784000</v>
      </c>
      <c r="K19" s="446">
        <f>K12*'Eeldused SotsMajand. moju'!$B$24*'Eeldused SotsMajand. moju'!$B$27+K13*'Eeldused SotsMajand. moju'!$C$24*'Eeldused SotsMajand. moju'!$C$27+K14*'Eeldused SotsMajand. moju'!$D$24*'Eeldused SotsMajand. moju'!$D$27+K15*'Eeldused SotsMajand. moju'!$E$24*'Eeldused SotsMajand. moju'!$E$27+K16*'Eeldused SotsMajand. moju'!$F$24*'Eeldused SotsMajand. moju'!$F$27</f>
        <v>9468000</v>
      </c>
      <c r="L19" s="446">
        <f>L12*'Eeldused SotsMajand. moju'!$B$24*'Eeldused SotsMajand. moju'!$B$27+L13*'Eeldused SotsMajand. moju'!$C$24*'Eeldused SotsMajand. moju'!$C$27+L14*'Eeldused SotsMajand. moju'!$D$24*'Eeldused SotsMajand. moju'!$D$27+L15*'Eeldused SotsMajand. moju'!$E$24*'Eeldused SotsMajand. moju'!$E$27+L16*'Eeldused SotsMajand. moju'!$F$24*'Eeldused SotsMajand. moju'!$F$27</f>
        <v>13464000</v>
      </c>
      <c r="M19" s="446">
        <f>M12*'Eeldused SotsMajand. moju'!$B$24*'Eeldused SotsMajand. moju'!$B$27+M13*'Eeldused SotsMajand. moju'!$C$24*'Eeldused SotsMajand. moju'!$C$27+M14*'Eeldused SotsMajand. moju'!$D$24*'Eeldused SotsMajand. moju'!$D$27+M15*'Eeldused SotsMajand. moju'!$E$24*'Eeldused SotsMajand. moju'!$E$27+M16*'Eeldused SotsMajand. moju'!$F$24*'Eeldused SotsMajand. moju'!$F$27</f>
        <v>17460000</v>
      </c>
      <c r="N19" s="446">
        <f>N12*'Eeldused SotsMajand. moju'!$B$24*'Eeldused SotsMajand. moju'!$B$27+N13*'Eeldused SotsMajand. moju'!$C$24*'Eeldused SotsMajand. moju'!$C$27+N14*'Eeldused SotsMajand. moju'!$D$24*'Eeldused SotsMajand. moju'!$D$27+N15*'Eeldused SotsMajand. moju'!$E$24*'Eeldused SotsMajand. moju'!$E$27+N16*'Eeldused SotsMajand. moju'!$F$24*'Eeldused SotsMajand. moju'!$F$27</f>
        <v>22860000</v>
      </c>
      <c r="O19" s="446">
        <f>O12*'Eeldused SotsMajand. moju'!$B$24*'Eeldused SotsMajand. moju'!$B$27+O13*'Eeldused SotsMajand. moju'!$C$24*'Eeldused SotsMajand. moju'!$C$27+O14*'Eeldused SotsMajand. moju'!$D$24*'Eeldused SotsMajand. moju'!$D$27+O15*'Eeldused SotsMajand. moju'!$E$24*'Eeldused SotsMajand. moju'!$E$27+O16*'Eeldused SotsMajand. moju'!$F$24*'Eeldused SotsMajand. moju'!$F$27</f>
        <v>29772000</v>
      </c>
      <c r="P19" s="446">
        <f>P12*'Eeldused SotsMajand. moju'!$B$24*'Eeldused SotsMajand. moju'!$B$27+P13*'Eeldused SotsMajand. moju'!$C$24*'Eeldused SotsMajand. moju'!$C$27+P14*'Eeldused SotsMajand. moju'!$D$24*'Eeldused SotsMajand. moju'!$D$27+P15*'Eeldused SotsMajand. moju'!$E$24*'Eeldused SotsMajand. moju'!$E$27+P16*'Eeldused SotsMajand. moju'!$F$24*'Eeldused SotsMajand. moju'!$F$27</f>
        <v>35184000</v>
      </c>
      <c r="Q19" s="446">
        <f>Q12*'Eeldused SotsMajand. moju'!$B$24*'Eeldused SotsMajand. moju'!$B$27+Q13*'Eeldused SotsMajand. moju'!$C$24*'Eeldused SotsMajand. moju'!$C$27+Q14*'Eeldused SotsMajand. moju'!$D$24*'Eeldused SotsMajand. moju'!$D$27+Q15*'Eeldused SotsMajand. moju'!$E$24*'Eeldused SotsMajand. moju'!$E$27+Q16*'Eeldused SotsMajand. moju'!$F$24*'Eeldused SotsMajand. moju'!$F$27</f>
        <v>46836000</v>
      </c>
      <c r="R19" s="446">
        <f>R12*'Eeldused SotsMajand. moju'!$B$24*'Eeldused SotsMajand. moju'!$B$27+R13*'Eeldused SotsMajand. moju'!$C$24*'Eeldused SotsMajand. moju'!$C$27+R14*'Eeldused SotsMajand. moju'!$D$24*'Eeldused SotsMajand. moju'!$D$27+R15*'Eeldused SotsMajand. moju'!$E$24*'Eeldused SotsMajand. moju'!$E$27+R16*'Eeldused SotsMajand. moju'!$F$24*'Eeldused SotsMajand. moju'!$F$27</f>
        <v>56988000</v>
      </c>
      <c r="S19" s="446">
        <f>S12*'Eeldused SotsMajand. moju'!$B$24*'Eeldused SotsMajand. moju'!$B$27+S13*'Eeldused SotsMajand. moju'!$C$24*'Eeldused SotsMajand. moju'!$C$27+S14*'Eeldused SotsMajand. moju'!$D$24*'Eeldused SotsMajand. moju'!$D$27+S15*'Eeldused SotsMajand. moju'!$E$24*'Eeldused SotsMajand. moju'!$E$27+S16*'Eeldused SotsMajand. moju'!$F$24*'Eeldused SotsMajand. moju'!$F$27</f>
        <v>71244000</v>
      </c>
      <c r="T19" s="389">
        <f>SUM(E19:S19)</f>
        <v>314220000</v>
      </c>
      <c r="U19" s="375"/>
      <c r="V19" s="389">
        <f>SUM($G19:I19)</f>
        <v>5160000</v>
      </c>
      <c r="W19" s="389">
        <f>SUM($G19:K19)</f>
        <v>20412000</v>
      </c>
      <c r="X19" s="389">
        <f>SUM($G19:P19)</f>
        <v>139152000</v>
      </c>
      <c r="Y19" s="389">
        <f>SUM($G19:S19)</f>
        <v>314220000</v>
      </c>
      <c r="Z19" s="375"/>
      <c r="AA19" s="375"/>
      <c r="AB19" s="375"/>
      <c r="AC19" s="375"/>
      <c r="AD19" s="375"/>
      <c r="AE19" s="375"/>
      <c r="AF19" s="375"/>
      <c r="AG19" s="375"/>
      <c r="AH19" s="375"/>
    </row>
    <row r="20" spans="1:34" x14ac:dyDescent="0.3">
      <c r="A20" s="440" t="s">
        <v>378</v>
      </c>
      <c r="B20" s="443"/>
      <c r="C20" s="444"/>
      <c r="D20" s="438" t="s">
        <v>491</v>
      </c>
      <c r="E20" s="445"/>
      <c r="F20" s="445"/>
      <c r="G20" s="445">
        <f>G12*'Eeldused SotsMajand. moju'!$B$24*'Eeldused SotsMajand. moju'!$B$30+G13*'Eeldused SotsMajand. moju'!$C$24*'Eeldused SotsMajand. moju'!$C$30+G14*'Eeldused SotsMajand. moju'!$D$24*'Eeldused SotsMajand. moju'!$D$30+G15*'Eeldused SotsMajand. moju'!$E$24*'Eeldused SotsMajand. moju'!$E$30+G16*'Eeldused SotsMajand. moju'!$F$24*'Eeldused SotsMajand. moju'!$F$30</f>
        <v>613410.0940318557</v>
      </c>
      <c r="H20" s="445">
        <f>H12*'Eeldused SotsMajand. moju'!$B$24*'Eeldused SotsMajand. moju'!$B$30+H13*'Eeldused SotsMajand. moju'!$C$24*'Eeldused SotsMajand. moju'!$C$30+H14*'Eeldused SotsMajand. moju'!$D$24*'Eeldused SotsMajand. moju'!$D$30+H15*'Eeldused SotsMajand. moju'!$E$24*'Eeldused SotsMajand. moju'!$E$30+H16*'Eeldused SotsMajand. moju'!$F$24*'Eeldused SotsMajand. moju'!$F$30</f>
        <v>1226820.1880637114</v>
      </c>
      <c r="I20" s="445">
        <f>I12*'Eeldused SotsMajand. moju'!$B$24*'Eeldused SotsMajand. moju'!$B$30+I13*'Eeldused SotsMajand. moju'!$C$24*'Eeldused SotsMajand. moju'!$C$30+I14*'Eeldused SotsMajand. moju'!$D$24*'Eeldused SotsMajand. moju'!$D$30+I15*'Eeldused SotsMajand. moju'!$E$24*'Eeldused SotsMajand. moju'!$E$30+I16*'Eeldused SotsMajand. moju'!$F$24*'Eeldused SotsMajand. moju'!$F$30</f>
        <v>1927860.2955286892</v>
      </c>
      <c r="J20" s="445">
        <f>J12*'Eeldused SotsMajand. moju'!$B$24*'Eeldused SotsMajand. moju'!$B$30+J13*'Eeldused SotsMajand. moju'!$C$24*'Eeldused SotsMajand. moju'!$C$30+J14*'Eeldused SotsMajand. moju'!$D$24*'Eeldused SotsMajand. moju'!$D$30+J15*'Eeldused SotsMajand. moju'!$E$24*'Eeldused SotsMajand. moju'!$E$30+J16*'Eeldused SotsMajand. moju'!$F$24*'Eeldused SotsMajand. moju'!$F$30</f>
        <v>3242310.4970255229</v>
      </c>
      <c r="K20" s="445">
        <f>K12*'Eeldused SotsMajand. moju'!$B$24*'Eeldused SotsMajand. moju'!$B$30+K13*'Eeldused SotsMajand. moju'!$C$24*'Eeldused SotsMajand. moju'!$C$30+K14*'Eeldused SotsMajand. moju'!$D$24*'Eeldused SotsMajand. moju'!$D$30+K15*'Eeldused SotsMajand. moju'!$E$24*'Eeldused SotsMajand. moju'!$E$30+K16*'Eeldused SotsMajand. moju'!$F$24*'Eeldused SotsMajand. moju'!$F$30</f>
        <v>4951095.7589714071</v>
      </c>
      <c r="L20" s="445">
        <f>L12*'Eeldused SotsMajand. moju'!$B$24*'Eeldused SotsMajand. moju'!$B$30+L13*'Eeldused SotsMajand. moju'!$C$24*'Eeldused SotsMajand. moju'!$C$30+L14*'Eeldused SotsMajand. moju'!$D$24*'Eeldused SotsMajand. moju'!$D$30+L15*'Eeldused SotsMajand. moju'!$E$24*'Eeldused SotsMajand. moju'!$E$30+L16*'Eeldused SotsMajand. moju'!$F$24*'Eeldused SotsMajand. moju'!$F$30</f>
        <v>6747511.034350412</v>
      </c>
      <c r="M20" s="445">
        <f>M12*'Eeldused SotsMajand. moju'!$B$24*'Eeldused SotsMajand. moju'!$B$30+M13*'Eeldused SotsMajand. moju'!$C$24*'Eeldused SotsMajand. moju'!$C$30+M14*'Eeldused SotsMajand. moju'!$D$24*'Eeldused SotsMajand. moju'!$D$30+M15*'Eeldused SotsMajand. moju'!$E$24*'Eeldused SotsMajand. moju'!$E$30+M16*'Eeldused SotsMajand. moju'!$F$24*'Eeldused SotsMajand. moju'!$F$30</f>
        <v>8543926.3097294196</v>
      </c>
      <c r="N20" s="445">
        <f>N12*'Eeldused SotsMajand. moju'!$B$24*'Eeldused SotsMajand. moju'!$B$30+N13*'Eeldused SotsMajand. moju'!$C$24*'Eeldused SotsMajand. moju'!$C$30+N14*'Eeldused SotsMajand. moju'!$D$24*'Eeldused SotsMajand. moju'!$D$30+N15*'Eeldused SotsMajand. moju'!$E$24*'Eeldused SotsMajand. moju'!$E$30+N16*'Eeldused SotsMajand. moju'!$F$24*'Eeldused SotsMajand. moju'!$F$30</f>
        <v>10734676.645557474</v>
      </c>
      <c r="O20" s="445">
        <f>O12*'Eeldused SotsMajand. moju'!$B$24*'Eeldused SotsMajand. moju'!$B$30+O13*'Eeldused SotsMajand. moju'!$C$24*'Eeldused SotsMajand. moju'!$C$30+O14*'Eeldused SotsMajand. moju'!$D$24*'Eeldused SotsMajand. moju'!$D$30+O15*'Eeldused SotsMajand. moju'!$E$24*'Eeldused SotsMajand. moju'!$E$30+O16*'Eeldused SotsMajand. moju'!$F$24*'Eeldused SotsMajand. moju'!$F$30</f>
        <v>13538837.075417385</v>
      </c>
      <c r="P20" s="445">
        <f>P12*'Eeldused SotsMajand. moju'!$B$24*'Eeldused SotsMajand. moju'!$B$30+P13*'Eeldused SotsMajand. moju'!$C$24*'Eeldused SotsMajand. moju'!$C$30+P14*'Eeldused SotsMajand. moju'!$D$24*'Eeldused SotsMajand. moju'!$D$30+P15*'Eeldused SotsMajand. moju'!$E$24*'Eeldused SotsMajand. moju'!$E$30+P16*'Eeldused SotsMajand. moju'!$F$24*'Eeldused SotsMajand. moju'!$F$30</f>
        <v>15247622.337363269</v>
      </c>
      <c r="Q20" s="445">
        <f>Q12*'Eeldused SotsMajand. moju'!$B$24*'Eeldused SotsMajand. moju'!$B$30+Q13*'Eeldused SotsMajand. moju'!$C$24*'Eeldused SotsMajand. moju'!$C$30+Q14*'Eeldused SotsMajand. moju'!$D$24*'Eeldused SotsMajand. moju'!$D$30+Q15*'Eeldused SotsMajand. moju'!$E$24*'Eeldused SotsMajand. moju'!$E$30+Q16*'Eeldused SotsMajand. moju'!$F$24*'Eeldused SotsMajand. moju'!$F$30</f>
        <v>20461608.136634041</v>
      </c>
      <c r="R20" s="445">
        <f>R12*'Eeldused SotsMajand. moju'!$B$24*'Eeldused SotsMajand. moju'!$B$30+R13*'Eeldused SotsMajand. moju'!$C$24*'Eeldused SotsMajand. moju'!$C$30+R14*'Eeldused SotsMajand. moju'!$D$24*'Eeldused SotsMajand. moju'!$D$30+R15*'Eeldused SotsMajand. moju'!$E$24*'Eeldused SotsMajand. moju'!$E$30+R16*'Eeldused SotsMajand. moju'!$F$24*'Eeldused SotsMajand. moju'!$F$30</f>
        <v>24580218.76799079</v>
      </c>
      <c r="S20" s="445">
        <f>S12*'Eeldused SotsMajand. moju'!$B$24*'Eeldused SotsMajand. moju'!$B$30+S13*'Eeldused SotsMajand. moju'!$C$24*'Eeldused SotsMajand. moju'!$C$30+S14*'Eeldused SotsMajand. moju'!$D$24*'Eeldused SotsMajand. moju'!$D$30+S15*'Eeldused SotsMajand. moju'!$E$24*'Eeldused SotsMajand. moju'!$E$30+S16*'Eeldused SotsMajand. moju'!$F$24*'Eeldused SotsMajand. moju'!$F$30</f>
        <v>30363799.654576853</v>
      </c>
      <c r="T20" s="389">
        <f>SUM(E20:S20)</f>
        <v>142179696.79524082</v>
      </c>
      <c r="U20" s="375"/>
      <c r="V20" s="389">
        <f>SUM($G20:I20)</f>
        <v>3768090.5776242563</v>
      </c>
      <c r="W20" s="389">
        <f>SUM($G20:K20)</f>
        <v>11961496.833621185</v>
      </c>
      <c r="X20" s="389">
        <f>SUM($G20:P20)</f>
        <v>66774070.236039147</v>
      </c>
      <c r="Y20" s="389">
        <f>SUM($G20:S20)</f>
        <v>142179696.79524082</v>
      </c>
      <c r="Z20" s="375"/>
      <c r="AA20" s="375"/>
      <c r="AB20" s="375"/>
      <c r="AC20" s="375"/>
      <c r="AD20" s="375"/>
      <c r="AE20" s="375"/>
      <c r="AF20" s="375"/>
      <c r="AG20" s="375"/>
      <c r="AH20" s="375"/>
    </row>
    <row r="21" spans="1:34" x14ac:dyDescent="0.3">
      <c r="A21" s="455" t="s">
        <v>381</v>
      </c>
      <c r="B21" s="439"/>
      <c r="C21" s="439"/>
      <c r="D21" s="438" t="s">
        <v>493</v>
      </c>
      <c r="E21" s="443"/>
      <c r="F21" s="443"/>
      <c r="G21" s="443">
        <f>G12*'Eeldused SotsMajand. moju'!$B$18+G13*'Eeldused SotsMajand. moju'!$C$18+G14*'Eeldused SotsMajand. moju'!$D$18+G15*'Eeldused SotsMajand. moju'!$E$18+G16*'Eeldused SotsMajand. moju'!$F$18</f>
        <v>19.32</v>
      </c>
      <c r="H21" s="443">
        <f>H12*'Eeldused SotsMajand. moju'!$B$18+H13*'Eeldused SotsMajand. moju'!$C$18+H14*'Eeldused SotsMajand. moju'!$D$18+H15*'Eeldused SotsMajand. moju'!$E$18+H16*'Eeldused SotsMajand. moju'!$F$18</f>
        <v>38.64</v>
      </c>
      <c r="I21" s="443">
        <f>I12*'Eeldused SotsMajand. moju'!$B$18+I13*'Eeldused SotsMajand. moju'!$C$18+I14*'Eeldused SotsMajand. moju'!$D$18+I15*'Eeldused SotsMajand. moju'!$E$18+I16*'Eeldused SotsMajand. moju'!$F$18</f>
        <v>60.719999999999992</v>
      </c>
      <c r="J21" s="443">
        <f>J12*'Eeldused SotsMajand. moju'!$B$18+J13*'Eeldused SotsMajand. moju'!$C$18+J14*'Eeldused SotsMajand. moju'!$D$18+J15*'Eeldused SotsMajand. moju'!$E$18+J16*'Eeldused SotsMajand. moju'!$F$18</f>
        <v>94.391999999999996</v>
      </c>
      <c r="K21" s="443">
        <f>K12*'Eeldused SotsMajand. moju'!$B$18+K13*'Eeldused SotsMajand. moju'!$C$18+K14*'Eeldused SotsMajand. moju'!$D$18+K15*'Eeldused SotsMajand. moju'!$E$18+K16*'Eeldused SotsMajand. moju'!$F$18</f>
        <v>140.48400000000001</v>
      </c>
      <c r="L21" s="443">
        <f>L12*'Eeldused SotsMajand. moju'!$B$18+L13*'Eeldused SotsMajand. moju'!$C$18+L14*'Eeldused SotsMajand. moju'!$D$18+L15*'Eeldused SotsMajand. moju'!$E$18+L16*'Eeldused SotsMajand. moju'!$F$18</f>
        <v>188.232</v>
      </c>
      <c r="M21" s="443">
        <f>M12*'Eeldused SotsMajand. moju'!$B$18+M13*'Eeldused SotsMajand. moju'!$C$18+M14*'Eeldused SotsMajand. moju'!$D$18+M15*'Eeldused SotsMajand. moju'!$E$18+M16*'Eeldused SotsMajand. moju'!$F$18</f>
        <v>235.98000000000002</v>
      </c>
      <c r="N21" s="443">
        <f>N12*'Eeldused SotsMajand. moju'!$B$18+N13*'Eeldused SotsMajand. moju'!$C$18+N14*'Eeldused SotsMajand. moju'!$D$18+N15*'Eeldused SotsMajand. moju'!$E$18+N16*'Eeldused SotsMajand. moju'!$F$18</f>
        <v>291.18</v>
      </c>
      <c r="O21" s="443">
        <f>O12*'Eeldused SotsMajand. moju'!$B$18+O13*'Eeldused SotsMajand. moju'!$C$18+O14*'Eeldused SotsMajand. moju'!$D$18+O15*'Eeldused SotsMajand. moju'!$E$18+O16*'Eeldused SotsMajand. moju'!$F$18</f>
        <v>354.10799999999995</v>
      </c>
      <c r="P21" s="443">
        <f>P12*'Eeldused SotsMajand. moju'!$B$18+P13*'Eeldused SotsMajand. moju'!$C$18+P14*'Eeldused SotsMajand. moju'!$D$18+P15*'Eeldused SotsMajand. moju'!$E$18+P16*'Eeldused SotsMajand. moju'!$F$18</f>
        <v>382.53600000000006</v>
      </c>
      <c r="Q21" s="443">
        <f>Q12*'Eeldused SotsMajand. moju'!$B$18+Q13*'Eeldused SotsMajand. moju'!$C$18+Q14*'Eeldused SotsMajand. moju'!$D$18+Q15*'Eeldused SotsMajand. moju'!$E$18+Q16*'Eeldused SotsMajand. moju'!$F$18</f>
        <v>500.38800000000003</v>
      </c>
      <c r="R21" s="443">
        <f>R12*'Eeldused SotsMajand. moju'!$B$18+R13*'Eeldused SotsMajand. moju'!$C$18+R14*'Eeldused SotsMajand. moju'!$D$18+R15*'Eeldused SotsMajand. moju'!$E$18+R16*'Eeldused SotsMajand. moju'!$F$18</f>
        <v>583.74</v>
      </c>
      <c r="S21" s="443">
        <f>S12*'Eeldused SotsMajand. moju'!$B$18+S13*'Eeldused SotsMajand. moju'!$C$18+S14*'Eeldused SotsMajand. moju'!$D$18+S15*'Eeldused SotsMajand. moju'!$E$18+S16*'Eeldused SotsMajand. moju'!$F$18</f>
        <v>688.61999999999989</v>
      </c>
      <c r="T21" s="590">
        <f>S21</f>
        <v>688.61999999999989</v>
      </c>
      <c r="U21" s="375"/>
      <c r="V21" s="387">
        <f>I21</f>
        <v>60.719999999999992</v>
      </c>
      <c r="W21" s="387">
        <f>K21</f>
        <v>140.48400000000001</v>
      </c>
      <c r="X21" s="387">
        <f>P21</f>
        <v>382.53600000000006</v>
      </c>
      <c r="Y21" s="387">
        <f>S21</f>
        <v>688.61999999999989</v>
      </c>
      <c r="Z21" s="375"/>
      <c r="AA21" s="375"/>
      <c r="AB21" s="375"/>
      <c r="AC21" s="375"/>
      <c r="AD21" s="375"/>
      <c r="AE21" s="375"/>
      <c r="AF21" s="375"/>
      <c r="AG21" s="375"/>
      <c r="AH21" s="375"/>
    </row>
    <row r="22" spans="1:34" x14ac:dyDescent="0.3">
      <c r="A22" s="440" t="s">
        <v>382</v>
      </c>
      <c r="B22" s="448"/>
      <c r="C22" s="444"/>
      <c r="D22" s="438" t="s">
        <v>491</v>
      </c>
      <c r="E22" s="445">
        <f t="shared" ref="E22:F22" si="11">E21*$B$22*12</f>
        <v>0</v>
      </c>
      <c r="F22" s="445">
        <f t="shared" si="11"/>
        <v>0</v>
      </c>
      <c r="G22" s="445">
        <f>(G12*'Eeldused SotsMajand. moju'!$B$18*'Eeldused SotsMajand. moju'!$B$21+G13*'Eeldused SotsMajand. moju'!$C$18*'Eeldused SotsMajand. moju'!$C$21+G14*'Eeldused SotsMajand. moju'!$D$18*'Eeldused SotsMajand. moju'!$D$21+G15*'Eeldused SotsMajand. moju'!$E$18*'Eeldused SotsMajand. moju'!$E$21+G16*'Eeldused SotsMajand. moju'!$F$18*'Eeldused SotsMajand. moju'!$F$21)*12</f>
        <v>320634.72000000003</v>
      </c>
      <c r="H22" s="445">
        <f>(H12*'Eeldused SotsMajand. moju'!$B$18*'Eeldused SotsMajand. moju'!$B$21+H13*'Eeldused SotsMajand. moju'!$C$18*'Eeldused SotsMajand. moju'!$C$21+H14*'Eeldused SotsMajand. moju'!$D$18*'Eeldused SotsMajand. moju'!$D$21+H15*'Eeldused SotsMajand. moju'!$E$18*'Eeldused SotsMajand. moju'!$E$21+H16*'Eeldused SotsMajand. moju'!$F$18*'Eeldused SotsMajand. moju'!$F$21)*12</f>
        <v>641269.44000000006</v>
      </c>
      <c r="I22" s="445">
        <f>(I12*'Eeldused SotsMajand. moju'!$B$18*'Eeldused SotsMajand. moju'!$B$21+I13*'Eeldused SotsMajand. moju'!$C$18*'Eeldused SotsMajand. moju'!$C$21+I14*'Eeldused SotsMajand. moju'!$D$18*'Eeldused SotsMajand. moju'!$D$21+I15*'Eeldused SotsMajand. moju'!$E$18*'Eeldused SotsMajand. moju'!$E$21+I16*'Eeldused SotsMajand. moju'!$F$18*'Eeldused SotsMajand. moju'!$F$21)*12</f>
        <v>1007709.1199999999</v>
      </c>
      <c r="J22" s="445">
        <f>(J12*'Eeldused SotsMajand. moju'!$B$18*'Eeldused SotsMajand. moju'!$B$21+J13*'Eeldused SotsMajand. moju'!$C$18*'Eeldused SotsMajand. moju'!$C$21+J14*'Eeldused SotsMajand. moju'!$D$18*'Eeldused SotsMajand. moju'!$D$21+J15*'Eeldused SotsMajand. moju'!$E$18*'Eeldused SotsMajand. moju'!$E$21+J16*'Eeldused SotsMajand. moju'!$F$18*'Eeldused SotsMajand. moju'!$F$21)*12</f>
        <v>1976942.0736</v>
      </c>
      <c r="K22" s="445">
        <f>(K12*'Eeldused SotsMajand. moju'!$B$18*'Eeldused SotsMajand. moju'!$B$21+K13*'Eeldused SotsMajand. moju'!$C$18*'Eeldused SotsMajand. moju'!$C$21+K14*'Eeldused SotsMajand. moju'!$D$18*'Eeldused SotsMajand. moju'!$D$21+K15*'Eeldused SotsMajand. moju'!$E$18*'Eeldused SotsMajand. moju'!$E$21+K16*'Eeldused SotsMajand. moju'!$F$18*'Eeldused SotsMajand. moju'!$F$21)*12</f>
        <v>3152297.3471999997</v>
      </c>
      <c r="L22" s="445">
        <f>(L12*'Eeldused SotsMajand. moju'!$B$18*'Eeldused SotsMajand. moju'!$B$21+L13*'Eeldused SotsMajand. moju'!$C$18*'Eeldused SotsMajand. moju'!$C$21+L14*'Eeldused SotsMajand. moju'!$D$18*'Eeldused SotsMajand. moju'!$D$21+L15*'Eeldused SotsMajand. moju'!$E$18*'Eeldused SotsMajand. moju'!$E$21+L16*'Eeldused SotsMajand. moju'!$F$18*'Eeldused SotsMajand. moju'!$F$21)*12</f>
        <v>4598451.5443200003</v>
      </c>
      <c r="M22" s="445">
        <f>(M12*'Eeldused SotsMajand. moju'!$B$18*'Eeldused SotsMajand. moju'!$B$21+M13*'Eeldused SotsMajand. moju'!$C$18*'Eeldused SotsMajand. moju'!$C$21+M14*'Eeldused SotsMajand. moju'!$D$18*'Eeldused SotsMajand. moju'!$D$21+M15*'Eeldused SotsMajand. moju'!$E$18*'Eeldused SotsMajand. moju'!$E$21+M16*'Eeldused SotsMajand. moju'!$F$18*'Eeldused SotsMajand. moju'!$F$21)*12</f>
        <v>6044605.74144</v>
      </c>
      <c r="N22" s="445">
        <f>(N12*'Eeldused SotsMajand. moju'!$B$18*'Eeldused SotsMajand. moju'!$B$21+N13*'Eeldused SotsMajand. moju'!$C$18*'Eeldused SotsMajand. moju'!$C$21+N14*'Eeldused SotsMajand. moju'!$D$18*'Eeldused SotsMajand. moju'!$D$21+N15*'Eeldused SotsMajand. moju'!$E$18*'Eeldused SotsMajand. moju'!$E$21+N16*'Eeldused SotsMajand. moju'!$F$18*'Eeldused SotsMajand. moju'!$F$21)*12</f>
        <v>7904653.5571200009</v>
      </c>
      <c r="O22" s="445">
        <f>(O12*'Eeldused SotsMajand. moju'!$B$18*'Eeldused SotsMajand. moju'!$B$21+O13*'Eeldused SotsMajand. moju'!$C$18*'Eeldused SotsMajand. moju'!$C$21+O14*'Eeldused SotsMajand. moju'!$D$18*'Eeldused SotsMajand. moju'!$D$21+O15*'Eeldused SotsMajand. moju'!$E$18*'Eeldused SotsMajand. moju'!$E$21+O16*'Eeldused SotsMajand. moju'!$F$18*'Eeldused SotsMajand. moju'!$F$21)*12</f>
        <v>10318758.168959999</v>
      </c>
      <c r="P22" s="445">
        <f>(P12*'Eeldused SotsMajand. moju'!$B$18*'Eeldused SotsMajand. moju'!$B$21+P13*'Eeldused SotsMajand. moju'!$C$18*'Eeldused SotsMajand. moju'!$C$21+P14*'Eeldused SotsMajand. moju'!$D$18*'Eeldused SotsMajand. moju'!$D$21+P15*'Eeldused SotsMajand. moju'!$E$18*'Eeldused SotsMajand. moju'!$E$21+P16*'Eeldused SotsMajand. moju'!$F$18*'Eeldused SotsMajand. moju'!$F$21)*12</f>
        <v>12279027.237120001</v>
      </c>
      <c r="Q22" s="445">
        <f>(Q12*'Eeldused SotsMajand. moju'!$B$18*'Eeldused SotsMajand. moju'!$B$21+Q13*'Eeldused SotsMajand. moju'!$C$18*'Eeldused SotsMajand. moju'!$C$21+Q14*'Eeldused SotsMajand. moju'!$D$18*'Eeldused SotsMajand. moju'!$D$21+Q15*'Eeldused SotsMajand. moju'!$E$18*'Eeldused SotsMajand. moju'!$E$21+Q16*'Eeldused SotsMajand. moju'!$F$18*'Eeldused SotsMajand. moju'!$F$21)*12</f>
        <v>16294656.4704</v>
      </c>
      <c r="R22" s="445">
        <f>(R12*'Eeldused SotsMajand. moju'!$B$18*'Eeldused SotsMajand. moju'!$B$21+R13*'Eeldused SotsMajand. moju'!$C$18*'Eeldused SotsMajand. moju'!$C$21+R14*'Eeldused SotsMajand. moju'!$D$18*'Eeldused SotsMajand. moju'!$D$21+R15*'Eeldused SotsMajand. moju'!$E$18*'Eeldused SotsMajand. moju'!$E$21+R16*'Eeldused SotsMajand. moju'!$F$18*'Eeldused SotsMajand. moju'!$F$21)*12</f>
        <v>19737723.703680001</v>
      </c>
      <c r="S22" s="445">
        <f>(S12*'Eeldused SotsMajand. moju'!$B$18*'Eeldused SotsMajand. moju'!$B$21+S13*'Eeldused SotsMajand. moju'!$C$18*'Eeldused SotsMajand. moju'!$C$21+S14*'Eeldused SotsMajand. moju'!$D$18*'Eeldused SotsMajand. moju'!$D$21+S15*'Eeldused SotsMajand. moju'!$E$18*'Eeldused SotsMajand. moju'!$E$21+S16*'Eeldused SotsMajand. moju'!$F$18*'Eeldused SotsMajand. moju'!$F$21)*12</f>
        <v>24645083.89824</v>
      </c>
      <c r="T22" s="389">
        <f t="shared" ref="T22:T28" si="12">SUM(E22:S22)</f>
        <v>108921813.02208</v>
      </c>
      <c r="U22" s="375"/>
      <c r="V22" s="389">
        <f>SUM($G22:I22)</f>
        <v>1969613.28</v>
      </c>
      <c r="W22" s="389">
        <f>SUM($G22:K22)</f>
        <v>7098852.7007999998</v>
      </c>
      <c r="X22" s="389">
        <f>SUM($G22:P22)</f>
        <v>48244348.949760005</v>
      </c>
      <c r="Y22" s="389">
        <f>SUM($G22:S22)</f>
        <v>108921813.02208</v>
      </c>
      <c r="Z22" s="375"/>
      <c r="AA22" s="375"/>
      <c r="AB22" s="375"/>
      <c r="AC22" s="375"/>
      <c r="AD22" s="375"/>
      <c r="AE22" s="375"/>
      <c r="AF22" s="375"/>
      <c r="AG22" s="375"/>
      <c r="AH22" s="375"/>
    </row>
    <row r="23" spans="1:34" x14ac:dyDescent="0.3">
      <c r="A23" s="440" t="s">
        <v>383</v>
      </c>
      <c r="B23" s="449">
        <v>0.33800000000000002</v>
      </c>
      <c r="C23" s="449"/>
      <c r="D23" s="438" t="s">
        <v>491</v>
      </c>
      <c r="E23" s="450">
        <v>0</v>
      </c>
      <c r="F23" s="450"/>
      <c r="G23" s="450">
        <f>$B$23*G22</f>
        <v>108374.53536000002</v>
      </c>
      <c r="H23" s="390">
        <f t="shared" ref="H23:S23" si="13">$B$23*H22</f>
        <v>216749.07072000005</v>
      </c>
      <c r="I23" s="390">
        <f t="shared" si="13"/>
        <v>340605.68255999999</v>
      </c>
      <c r="J23" s="390">
        <f t="shared" si="13"/>
        <v>668206.42087680008</v>
      </c>
      <c r="K23" s="390">
        <f t="shared" si="13"/>
        <v>1065476.5033535999</v>
      </c>
      <c r="L23" s="390">
        <f t="shared" si="13"/>
        <v>1554276.6219801602</v>
      </c>
      <c r="M23" s="390">
        <f t="shared" si="13"/>
        <v>2043076.7406067201</v>
      </c>
      <c r="N23" s="390">
        <f t="shared" si="13"/>
        <v>2671772.9023065604</v>
      </c>
      <c r="O23" s="390">
        <f t="shared" si="13"/>
        <v>3487740.2611084799</v>
      </c>
      <c r="P23" s="390">
        <f t="shared" si="13"/>
        <v>4150311.2061465606</v>
      </c>
      <c r="Q23" s="390">
        <f t="shared" si="13"/>
        <v>5507593.8869952001</v>
      </c>
      <c r="R23" s="390">
        <f t="shared" si="13"/>
        <v>6671350.6118438412</v>
      </c>
      <c r="S23" s="390">
        <f t="shared" si="13"/>
        <v>8330038.3576051202</v>
      </c>
      <c r="T23" s="389">
        <f t="shared" si="12"/>
        <v>36815572.801463045</v>
      </c>
      <c r="U23" s="375"/>
      <c r="V23" s="389">
        <f>SUM($G23:I23)</f>
        <v>665729.28864000004</v>
      </c>
      <c r="W23" s="389">
        <f>SUM($G23:K23)</f>
        <v>2399412.2128703999</v>
      </c>
      <c r="X23" s="389">
        <f>SUM($G23:P23)</f>
        <v>16306589.945018882</v>
      </c>
      <c r="Y23" s="389">
        <f>SUM($G23:S23)</f>
        <v>36815572.801463045</v>
      </c>
      <c r="Z23" s="375"/>
      <c r="AA23" s="375"/>
      <c r="AB23" s="375"/>
      <c r="AC23" s="375"/>
      <c r="AD23" s="375"/>
      <c r="AE23" s="375"/>
      <c r="AF23" s="375"/>
      <c r="AG23" s="375"/>
      <c r="AH23" s="375"/>
    </row>
    <row r="24" spans="1:34" x14ac:dyDescent="0.3">
      <c r="A24" s="440" t="s">
        <v>384</v>
      </c>
      <c r="B24" s="447">
        <v>0.22</v>
      </c>
      <c r="C24" s="447"/>
      <c r="D24" s="438" t="s">
        <v>491</v>
      </c>
      <c r="E24" s="450"/>
      <c r="F24" s="450"/>
      <c r="G24" s="450">
        <f>(G22/G21/12-G22*0.02/G21/12-500)*$B$24*12*G21</f>
        <v>43626.445631999995</v>
      </c>
      <c r="H24" s="390">
        <f t="shared" ref="H24:S24" si="14">(H22/H21/12-H22*0.02/H21/12-500)*$B$24*12*H21</f>
        <v>87252.891263999991</v>
      </c>
      <c r="I24" s="390">
        <f t="shared" si="14"/>
        <v>137111.68627199996</v>
      </c>
      <c r="J24" s="390">
        <f t="shared" si="14"/>
        <v>301631.27106815996</v>
      </c>
      <c r="K24" s="390">
        <f t="shared" si="14"/>
        <v>494196.42805631994</v>
      </c>
      <c r="L24" s="390">
        <f t="shared" si="14"/>
        <v>742959.91295539215</v>
      </c>
      <c r="M24" s="390">
        <f t="shared" si="14"/>
        <v>991723.39785446401</v>
      </c>
      <c r="N24" s="390">
        <f t="shared" si="14"/>
        <v>1319885.7069150722</v>
      </c>
      <c r="O24" s="390">
        <f t="shared" si="14"/>
        <v>1757301.701227776</v>
      </c>
      <c r="P24" s="390">
        <f t="shared" si="14"/>
        <v>2142410.7523230719</v>
      </c>
      <c r="Q24" s="390">
        <f t="shared" si="14"/>
        <v>2852615.7750182399</v>
      </c>
      <c r="R24" s="390">
        <f t="shared" si="14"/>
        <v>3484916.4305134085</v>
      </c>
      <c r="S24" s="390">
        <f t="shared" si="14"/>
        <v>4404501.6884605438</v>
      </c>
      <c r="T24" s="389">
        <f t="shared" si="12"/>
        <v>18760134.087560445</v>
      </c>
      <c r="U24" s="375"/>
      <c r="V24" s="389">
        <f>SUM($G24:I24)</f>
        <v>267991.02316799993</v>
      </c>
      <c r="W24" s="389">
        <f>SUM($G24:K24)</f>
        <v>1063818.7222924798</v>
      </c>
      <c r="X24" s="389">
        <f>SUM($G24:P24)</f>
        <v>8018100.1935682558</v>
      </c>
      <c r="Y24" s="389">
        <f>SUM($G24:S24)</f>
        <v>18760134.087560445</v>
      </c>
      <c r="Z24" s="375"/>
      <c r="AA24" s="375"/>
      <c r="AB24" s="375"/>
      <c r="AC24" s="375"/>
      <c r="AD24" s="375"/>
      <c r="AE24" s="375"/>
      <c r="AF24" s="375"/>
      <c r="AG24" s="375"/>
      <c r="AH24" s="375"/>
    </row>
    <row r="25" spans="1:34" x14ac:dyDescent="0.3">
      <c r="A25" s="451" t="s">
        <v>385</v>
      </c>
      <c r="B25" s="451"/>
      <c r="C25" s="451"/>
      <c r="D25" s="438" t="s">
        <v>491</v>
      </c>
      <c r="E25" s="450">
        <f t="shared" ref="E25:S25" si="15">E24-E26</f>
        <v>0</v>
      </c>
      <c r="F25" s="450">
        <f t="shared" si="15"/>
        <v>0</v>
      </c>
      <c r="G25" s="450">
        <f t="shared" si="15"/>
        <v>18388.546833888002</v>
      </c>
      <c r="H25" s="390">
        <f t="shared" si="15"/>
        <v>41365.802540159995</v>
      </c>
      <c r="I25" s="390">
        <f t="shared" si="15"/>
        <v>65003.403991679981</v>
      </c>
      <c r="J25" s="390">
        <f t="shared" si="15"/>
        <v>143000.64351095038</v>
      </c>
      <c r="K25" s="390">
        <f t="shared" si="15"/>
        <v>234294.0338467008</v>
      </c>
      <c r="L25" s="390">
        <f t="shared" si="15"/>
        <v>352230.54055112461</v>
      </c>
      <c r="M25" s="390">
        <f t="shared" si="15"/>
        <v>470167.04725554818</v>
      </c>
      <c r="N25" s="390">
        <f t="shared" si="15"/>
        <v>625745.8146874638</v>
      </c>
      <c r="O25" s="390">
        <f t="shared" si="15"/>
        <v>833120.76108207752</v>
      </c>
      <c r="P25" s="390">
        <f t="shared" si="15"/>
        <v>1015697.4612149838</v>
      </c>
      <c r="Q25" s="390">
        <f t="shared" si="15"/>
        <v>1352399.2060654657</v>
      </c>
      <c r="R25" s="390">
        <f t="shared" si="15"/>
        <v>1652167.1986479477</v>
      </c>
      <c r="S25" s="390">
        <f t="shared" si="15"/>
        <v>2088134.2095747031</v>
      </c>
      <c r="T25" s="389">
        <f t="shared" si="12"/>
        <v>8891714.6698026937</v>
      </c>
      <c r="U25" s="375"/>
      <c r="V25" s="389">
        <f>SUM($G25:I25)</f>
        <v>124757.75336572799</v>
      </c>
      <c r="W25" s="389">
        <f>SUM($G25:K25)</f>
        <v>502052.43072337913</v>
      </c>
      <c r="X25" s="389">
        <f>SUM($G25:P25)</f>
        <v>3799014.0555145768</v>
      </c>
      <c r="Y25" s="389">
        <f>SUM($G25:S25)</f>
        <v>8891714.6698026937</v>
      </c>
      <c r="Z25" s="375"/>
      <c r="AA25" s="375"/>
      <c r="AB25" s="375"/>
      <c r="AC25" s="375"/>
      <c r="AD25" s="375"/>
      <c r="AE25" s="375"/>
      <c r="AF25" s="375"/>
      <c r="AG25" s="375"/>
      <c r="AH25" s="375"/>
    </row>
    <row r="26" spans="1:34" x14ac:dyDescent="0.3">
      <c r="A26" s="451" t="s">
        <v>373</v>
      </c>
      <c r="B26" s="452">
        <v>0.1157</v>
      </c>
      <c r="C26" s="453"/>
      <c r="D26" s="438" t="s">
        <v>491</v>
      </c>
      <c r="E26" s="450">
        <f>E24*$B$26/20%</f>
        <v>0</v>
      </c>
      <c r="F26" s="450">
        <f>F24*$B$26/20%</f>
        <v>0</v>
      </c>
      <c r="G26" s="450">
        <f>G24*$B$26/20%</f>
        <v>25237.898798111994</v>
      </c>
      <c r="H26" s="390">
        <f>H24*$B$26/$B$24</f>
        <v>45887.088723839996</v>
      </c>
      <c r="I26" s="390">
        <f t="shared" ref="I26:S26" si="16">I24*$B$26/$B$24</f>
        <v>72108.282280319982</v>
      </c>
      <c r="J26" s="390">
        <f t="shared" si="16"/>
        <v>158630.62755720958</v>
      </c>
      <c r="K26" s="390">
        <f t="shared" si="16"/>
        <v>259902.39420961915</v>
      </c>
      <c r="L26" s="390">
        <f t="shared" si="16"/>
        <v>390729.37240426755</v>
      </c>
      <c r="M26" s="390">
        <f t="shared" si="16"/>
        <v>521556.35059891583</v>
      </c>
      <c r="N26" s="390">
        <f t="shared" si="16"/>
        <v>694139.89222760836</v>
      </c>
      <c r="O26" s="390">
        <f t="shared" si="16"/>
        <v>924180.94014569849</v>
      </c>
      <c r="P26" s="390">
        <f t="shared" si="16"/>
        <v>1126713.2911080881</v>
      </c>
      <c r="Q26" s="390">
        <f t="shared" si="16"/>
        <v>1500216.5689527742</v>
      </c>
      <c r="R26" s="390">
        <f t="shared" si="16"/>
        <v>1832749.2318654608</v>
      </c>
      <c r="S26" s="390">
        <f t="shared" si="16"/>
        <v>2316367.4788858406</v>
      </c>
      <c r="T26" s="389">
        <f t="shared" si="12"/>
        <v>9868419.4177577533</v>
      </c>
      <c r="U26" s="375"/>
      <c r="V26" s="389">
        <f>SUM($G26:I26)</f>
        <v>143233.26980227197</v>
      </c>
      <c r="W26" s="389">
        <f>SUM($G26:K26)</f>
        <v>561766.29156910069</v>
      </c>
      <c r="X26" s="389">
        <f>SUM($G26:P26)</f>
        <v>4219086.1380536789</v>
      </c>
      <c r="Y26" s="389">
        <f>SUM($G26:S26)</f>
        <v>9868419.4177577533</v>
      </c>
      <c r="Z26" s="375"/>
      <c r="AA26" s="375"/>
      <c r="AB26" s="375"/>
      <c r="AC26" s="375"/>
      <c r="AD26" s="375"/>
      <c r="AE26" s="375"/>
      <c r="AF26" s="375"/>
      <c r="AG26" s="375"/>
      <c r="AH26" s="375"/>
    </row>
    <row r="27" spans="1:34" x14ac:dyDescent="0.3">
      <c r="A27" s="440" t="s">
        <v>386</v>
      </c>
      <c r="B27" s="447">
        <v>0.22</v>
      </c>
      <c r="C27" s="447"/>
      <c r="D27" s="438" t="s">
        <v>491</v>
      </c>
      <c r="E27" s="450">
        <f>(E18-E19)*0.2</f>
        <v>0</v>
      </c>
      <c r="F27" s="450">
        <f>(F18-F19)*0.2</f>
        <v>0</v>
      </c>
      <c r="G27" s="450">
        <f>G20*$B$27</f>
        <v>134950.22068700826</v>
      </c>
      <c r="H27" s="450">
        <f t="shared" ref="H27:S27" si="17">H20*$B$27</f>
        <v>269900.44137401652</v>
      </c>
      <c r="I27" s="450">
        <f t="shared" si="17"/>
        <v>424129.2650163116</v>
      </c>
      <c r="J27" s="450">
        <f t="shared" si="17"/>
        <v>713308.30934561498</v>
      </c>
      <c r="K27" s="450">
        <f t="shared" si="17"/>
        <v>1089241.0669737095</v>
      </c>
      <c r="L27" s="450">
        <f t="shared" si="17"/>
        <v>1484452.4275570905</v>
      </c>
      <c r="M27" s="450">
        <f t="shared" si="17"/>
        <v>1879663.7881404723</v>
      </c>
      <c r="N27" s="450">
        <f t="shared" si="17"/>
        <v>2361628.8620226444</v>
      </c>
      <c r="O27" s="450">
        <f t="shared" si="17"/>
        <v>2978544.1565918247</v>
      </c>
      <c r="P27" s="450">
        <f t="shared" si="17"/>
        <v>3354476.9142199191</v>
      </c>
      <c r="Q27" s="450">
        <f t="shared" si="17"/>
        <v>4501553.7900594892</v>
      </c>
      <c r="R27" s="450">
        <f t="shared" si="17"/>
        <v>5407648.1289579738</v>
      </c>
      <c r="S27" s="450">
        <f t="shared" si="17"/>
        <v>6680035.9240069073</v>
      </c>
      <c r="T27" s="389">
        <f t="shared" si="12"/>
        <v>31279533.294952981</v>
      </c>
      <c r="U27" s="375"/>
      <c r="V27" s="389">
        <f>SUM($G27:I27)</f>
        <v>828979.92707733647</v>
      </c>
      <c r="W27" s="389">
        <f>SUM($G27:K27)</f>
        <v>2631529.3033966608</v>
      </c>
      <c r="X27" s="389">
        <f>SUM($G27:P27)</f>
        <v>14690295.451928612</v>
      </c>
      <c r="Y27" s="389">
        <f>SUM($G27:S27)</f>
        <v>31279533.294952981</v>
      </c>
      <c r="Z27" s="375"/>
      <c r="AA27" s="375"/>
      <c r="AB27" s="375"/>
      <c r="AC27" s="375"/>
      <c r="AD27" s="375"/>
      <c r="AE27" s="375"/>
      <c r="AF27" s="375"/>
      <c r="AG27" s="375"/>
      <c r="AH27" s="375"/>
    </row>
    <row r="28" spans="1:34" ht="28" x14ac:dyDescent="0.3">
      <c r="A28" s="455" t="s">
        <v>490</v>
      </c>
      <c r="B28" s="454"/>
      <c r="C28" s="454"/>
      <c r="D28" s="438" t="s">
        <v>491</v>
      </c>
      <c r="E28" s="450">
        <f t="shared" ref="E28:S28" si="18">E23+E24+E27</f>
        <v>0</v>
      </c>
      <c r="F28" s="450">
        <f t="shared" si="18"/>
        <v>0</v>
      </c>
      <c r="G28" s="450">
        <f t="shared" si="18"/>
        <v>286951.20167900831</v>
      </c>
      <c r="H28" s="450">
        <f t="shared" si="18"/>
        <v>573902.40335801663</v>
      </c>
      <c r="I28" s="450">
        <f t="shared" si="18"/>
        <v>901846.63384831161</v>
      </c>
      <c r="J28" s="450">
        <f t="shared" si="18"/>
        <v>1683146.0012905751</v>
      </c>
      <c r="K28" s="450">
        <f t="shared" si="18"/>
        <v>2648913.9983836291</v>
      </c>
      <c r="L28" s="450">
        <f t="shared" si="18"/>
        <v>3781688.9624926429</v>
      </c>
      <c r="M28" s="450">
        <f t="shared" si="18"/>
        <v>4914463.9266016567</v>
      </c>
      <c r="N28" s="450">
        <f t="shared" si="18"/>
        <v>6353287.4712442774</v>
      </c>
      <c r="O28" s="450">
        <f t="shared" si="18"/>
        <v>8223586.1189280804</v>
      </c>
      <c r="P28" s="450">
        <f t="shared" si="18"/>
        <v>9647198.8726895526</v>
      </c>
      <c r="Q28" s="450">
        <f t="shared" si="18"/>
        <v>12861763.45207293</v>
      </c>
      <c r="R28" s="450">
        <f t="shared" si="18"/>
        <v>15563915.171315223</v>
      </c>
      <c r="S28" s="450">
        <f t="shared" si="18"/>
        <v>19414575.970072571</v>
      </c>
      <c r="T28" s="389">
        <f t="shared" si="12"/>
        <v>86855240.183976471</v>
      </c>
      <c r="U28" s="375"/>
      <c r="V28" s="389">
        <f>SUM($G28:I28)</f>
        <v>1762700.2388853366</v>
      </c>
      <c r="W28" s="389">
        <f>SUM($G28:K28)</f>
        <v>6094760.2385595404</v>
      </c>
      <c r="X28" s="389">
        <f>SUM($G28:P28)</f>
        <v>39014985.590515755</v>
      </c>
      <c r="Y28" s="389">
        <f>SUM($G28:S28)</f>
        <v>86855240.183976471</v>
      </c>
      <c r="Z28" s="375"/>
      <c r="AA28" s="375"/>
      <c r="AB28" s="375"/>
      <c r="AC28" s="375"/>
      <c r="AD28" s="375"/>
      <c r="AE28" s="375"/>
      <c r="AF28" s="375"/>
      <c r="AG28" s="375"/>
      <c r="AH28" s="375"/>
    </row>
    <row r="29" spans="1:34" x14ac:dyDescent="0.3">
      <c r="A29" s="455"/>
      <c r="B29" s="454"/>
      <c r="C29" s="454"/>
      <c r="D29" s="438"/>
      <c r="E29" s="450"/>
      <c r="F29" s="450"/>
      <c r="G29" s="450"/>
      <c r="H29" s="390"/>
      <c r="I29" s="390"/>
      <c r="J29" s="390"/>
      <c r="K29" s="390"/>
      <c r="L29" s="390"/>
      <c r="M29" s="390"/>
      <c r="N29" s="390"/>
      <c r="O29" s="390"/>
      <c r="P29" s="390"/>
      <c r="Q29" s="390"/>
      <c r="R29" s="390"/>
      <c r="S29" s="390"/>
      <c r="T29" s="389"/>
      <c r="U29" s="375"/>
      <c r="V29" s="389"/>
      <c r="W29" s="389"/>
      <c r="X29" s="389"/>
      <c r="Y29" s="389"/>
      <c r="Z29" s="375"/>
      <c r="AA29" s="375"/>
      <c r="AB29" s="375"/>
      <c r="AC29" s="375"/>
      <c r="AD29" s="375"/>
      <c r="AE29" s="375"/>
      <c r="AF29" s="375"/>
      <c r="AG29" s="375"/>
      <c r="AH29" s="375"/>
    </row>
    <row r="30" spans="1:34" x14ac:dyDescent="0.3">
      <c r="A30" s="456" t="s">
        <v>370</v>
      </c>
      <c r="B30" s="456"/>
      <c r="C30" s="456"/>
      <c r="D30" s="457" t="s">
        <v>491</v>
      </c>
      <c r="E30" s="458">
        <f t="shared" ref="E30:F30" si="19">SUM(E31:E34)</f>
        <v>0</v>
      </c>
      <c r="F30" s="458">
        <f t="shared" si="19"/>
        <v>0</v>
      </c>
      <c r="G30" s="458">
        <f t="shared" ref="G30" si="20">SUM(G31:G34)</f>
        <v>312189.10047712026</v>
      </c>
      <c r="H30" s="458">
        <f t="shared" ref="H30:S30" si="21">SUM(H31:H34)</f>
        <v>619789.49208185659</v>
      </c>
      <c r="I30" s="458">
        <f t="shared" si="21"/>
        <v>973954.91612863145</v>
      </c>
      <c r="J30" s="458">
        <f t="shared" si="21"/>
        <v>1841776.6288477848</v>
      </c>
      <c r="K30" s="458">
        <f t="shared" si="21"/>
        <v>2908816.3925932487</v>
      </c>
      <c r="L30" s="458">
        <f t="shared" si="21"/>
        <v>4172418.3348969109</v>
      </c>
      <c r="M30" s="458">
        <f t="shared" si="21"/>
        <v>5436020.2772005722</v>
      </c>
      <c r="N30" s="458">
        <f t="shared" si="21"/>
        <v>7047427.3634718861</v>
      </c>
      <c r="O30" s="458">
        <f t="shared" si="21"/>
        <v>9147767.0590737797</v>
      </c>
      <c r="P30" s="458">
        <f t="shared" si="21"/>
        <v>10773912.163797641</v>
      </c>
      <c r="Q30" s="458">
        <f t="shared" si="21"/>
        <v>14361980.021025702</v>
      </c>
      <c r="R30" s="458">
        <f t="shared" si="21"/>
        <v>17396664.403180681</v>
      </c>
      <c r="S30" s="458">
        <f t="shared" si="21"/>
        <v>21730943.448958412</v>
      </c>
      <c r="T30" s="393">
        <f t="shared" ref="T30:T34" si="22">SUM(E30:S30)</f>
        <v>96723659.601734236</v>
      </c>
      <c r="U30" s="375"/>
      <c r="V30" s="592">
        <f>SUM($G30:I30)</f>
        <v>1905933.5086876084</v>
      </c>
      <c r="W30" s="592">
        <f>SUM($G30:K30)</f>
        <v>6656526.530128642</v>
      </c>
      <c r="X30" s="592">
        <f>SUM($G30:P30)</f>
        <v>43234071.728569433</v>
      </c>
      <c r="Y30" s="592">
        <f>SUM($G30:S30)</f>
        <v>96723659.601734236</v>
      </c>
      <c r="Z30" s="375"/>
      <c r="AA30" s="375"/>
      <c r="AB30" s="375"/>
      <c r="AC30" s="375"/>
      <c r="AD30" s="375"/>
      <c r="AE30" s="375"/>
      <c r="AF30" s="375"/>
      <c r="AG30" s="375"/>
      <c r="AH30" s="375"/>
    </row>
    <row r="31" spans="1:34" x14ac:dyDescent="0.3">
      <c r="A31" s="459" t="s">
        <v>371</v>
      </c>
      <c r="B31" s="459"/>
      <c r="C31" s="459"/>
      <c r="D31" s="457" t="s">
        <v>491</v>
      </c>
      <c r="E31" s="458">
        <f t="shared" ref="E31:H31" si="23">E23</f>
        <v>0</v>
      </c>
      <c r="F31" s="458">
        <f t="shared" si="23"/>
        <v>0</v>
      </c>
      <c r="G31" s="458">
        <f t="shared" si="23"/>
        <v>108374.53536000002</v>
      </c>
      <c r="H31" s="458">
        <f t="shared" si="23"/>
        <v>216749.07072000005</v>
      </c>
      <c r="I31" s="458">
        <f>I23</f>
        <v>340605.68255999999</v>
      </c>
      <c r="J31" s="458">
        <f t="shared" ref="J31:S31" si="24">J23</f>
        <v>668206.42087680008</v>
      </c>
      <c r="K31" s="458">
        <f t="shared" si="24"/>
        <v>1065476.5033535999</v>
      </c>
      <c r="L31" s="458">
        <f t="shared" si="24"/>
        <v>1554276.6219801602</v>
      </c>
      <c r="M31" s="458">
        <f t="shared" si="24"/>
        <v>2043076.7406067201</v>
      </c>
      <c r="N31" s="458">
        <f t="shared" si="24"/>
        <v>2671772.9023065604</v>
      </c>
      <c r="O31" s="458">
        <f t="shared" si="24"/>
        <v>3487740.2611084799</v>
      </c>
      <c r="P31" s="458">
        <f t="shared" si="24"/>
        <v>4150311.2061465606</v>
      </c>
      <c r="Q31" s="458">
        <f t="shared" si="24"/>
        <v>5507593.8869952001</v>
      </c>
      <c r="R31" s="458">
        <f t="shared" si="24"/>
        <v>6671350.6118438412</v>
      </c>
      <c r="S31" s="458">
        <f t="shared" si="24"/>
        <v>8330038.3576051202</v>
      </c>
      <c r="T31" s="393">
        <f t="shared" si="22"/>
        <v>36815572.801463045</v>
      </c>
      <c r="U31" s="375"/>
      <c r="V31" s="592">
        <f>SUM($G31:I31)</f>
        <v>665729.28864000004</v>
      </c>
      <c r="W31" s="592">
        <f>SUM($G31:K31)</f>
        <v>2399412.2128703999</v>
      </c>
      <c r="X31" s="592">
        <f>SUM($G31:P31)</f>
        <v>16306589.945018882</v>
      </c>
      <c r="Y31" s="592">
        <f>SUM($G31:S31)</f>
        <v>36815572.801463045</v>
      </c>
      <c r="Z31" s="375"/>
      <c r="AA31" s="375"/>
      <c r="AB31" s="375"/>
      <c r="AC31" s="375"/>
      <c r="AD31" s="375"/>
      <c r="AE31" s="375"/>
      <c r="AF31" s="375"/>
      <c r="AG31" s="375"/>
      <c r="AH31" s="375"/>
    </row>
    <row r="32" spans="1:34" x14ac:dyDescent="0.3">
      <c r="A32" s="459" t="s">
        <v>372</v>
      </c>
      <c r="B32" s="459"/>
      <c r="C32" s="459"/>
      <c r="D32" s="457" t="s">
        <v>491</v>
      </c>
      <c r="E32" s="458">
        <f t="shared" ref="E32:H32" si="25">E24</f>
        <v>0</v>
      </c>
      <c r="F32" s="458">
        <f t="shared" si="25"/>
        <v>0</v>
      </c>
      <c r="G32" s="458">
        <f t="shared" si="25"/>
        <v>43626.445631999995</v>
      </c>
      <c r="H32" s="458">
        <f t="shared" si="25"/>
        <v>87252.891263999991</v>
      </c>
      <c r="I32" s="458">
        <f>I24</f>
        <v>137111.68627199996</v>
      </c>
      <c r="J32" s="458">
        <f t="shared" ref="J32:S32" si="26">J24</f>
        <v>301631.27106815996</v>
      </c>
      <c r="K32" s="458">
        <f t="shared" si="26"/>
        <v>494196.42805631994</v>
      </c>
      <c r="L32" s="458">
        <f t="shared" si="26"/>
        <v>742959.91295539215</v>
      </c>
      <c r="M32" s="458">
        <f t="shared" si="26"/>
        <v>991723.39785446401</v>
      </c>
      <c r="N32" s="458">
        <f t="shared" si="26"/>
        <v>1319885.7069150722</v>
      </c>
      <c r="O32" s="458">
        <f t="shared" si="26"/>
        <v>1757301.701227776</v>
      </c>
      <c r="P32" s="458">
        <f t="shared" si="26"/>
        <v>2142410.7523230719</v>
      </c>
      <c r="Q32" s="458">
        <f t="shared" si="26"/>
        <v>2852615.7750182399</v>
      </c>
      <c r="R32" s="458">
        <f t="shared" si="26"/>
        <v>3484916.4305134085</v>
      </c>
      <c r="S32" s="458">
        <f t="shared" si="26"/>
        <v>4404501.6884605438</v>
      </c>
      <c r="T32" s="393">
        <f t="shared" si="22"/>
        <v>18760134.087560445</v>
      </c>
      <c r="U32" s="375"/>
      <c r="V32" s="592">
        <f>SUM($G32:I32)</f>
        <v>267991.02316799993</v>
      </c>
      <c r="W32" s="592">
        <f>SUM($G32:K32)</f>
        <v>1063818.7222924798</v>
      </c>
      <c r="X32" s="592">
        <f>SUM($G32:P32)</f>
        <v>8018100.1935682558</v>
      </c>
      <c r="Y32" s="592">
        <f>SUM($G32:S32)</f>
        <v>18760134.087560445</v>
      </c>
      <c r="Z32" s="375"/>
      <c r="AA32" s="375"/>
      <c r="AB32" s="375"/>
      <c r="AC32" s="375"/>
      <c r="AD32" s="375"/>
      <c r="AE32" s="375"/>
      <c r="AF32" s="375"/>
      <c r="AG32" s="375"/>
      <c r="AH32" s="375"/>
    </row>
    <row r="33" spans="1:34" x14ac:dyDescent="0.3">
      <c r="A33" s="460" t="s">
        <v>373</v>
      </c>
      <c r="B33" s="459"/>
      <c r="C33" s="459"/>
      <c r="D33" s="457" t="s">
        <v>491</v>
      </c>
      <c r="E33" s="458">
        <f t="shared" ref="E33:H33" si="27">E26</f>
        <v>0</v>
      </c>
      <c r="F33" s="458">
        <f t="shared" si="27"/>
        <v>0</v>
      </c>
      <c r="G33" s="458">
        <f t="shared" si="27"/>
        <v>25237.898798111994</v>
      </c>
      <c r="H33" s="458">
        <f t="shared" si="27"/>
        <v>45887.088723839996</v>
      </c>
      <c r="I33" s="458">
        <f>I26</f>
        <v>72108.282280319982</v>
      </c>
      <c r="J33" s="458">
        <f t="shared" ref="J33:S33" si="28">J26</f>
        <v>158630.62755720958</v>
      </c>
      <c r="K33" s="458">
        <f t="shared" si="28"/>
        <v>259902.39420961915</v>
      </c>
      <c r="L33" s="458">
        <f t="shared" si="28"/>
        <v>390729.37240426755</v>
      </c>
      <c r="M33" s="458">
        <f t="shared" si="28"/>
        <v>521556.35059891583</v>
      </c>
      <c r="N33" s="458">
        <f t="shared" si="28"/>
        <v>694139.89222760836</v>
      </c>
      <c r="O33" s="458">
        <f t="shared" si="28"/>
        <v>924180.94014569849</v>
      </c>
      <c r="P33" s="458">
        <f t="shared" si="28"/>
        <v>1126713.2911080881</v>
      </c>
      <c r="Q33" s="458">
        <f t="shared" si="28"/>
        <v>1500216.5689527742</v>
      </c>
      <c r="R33" s="458">
        <f t="shared" si="28"/>
        <v>1832749.2318654608</v>
      </c>
      <c r="S33" s="458">
        <f t="shared" si="28"/>
        <v>2316367.4788858406</v>
      </c>
      <c r="T33" s="393">
        <f t="shared" si="22"/>
        <v>9868419.4177577533</v>
      </c>
      <c r="U33" s="375"/>
      <c r="V33" s="592">
        <f>SUM($G33:I33)</f>
        <v>143233.26980227197</v>
      </c>
      <c r="W33" s="592">
        <f>SUM($G33:K33)</f>
        <v>561766.29156910069</v>
      </c>
      <c r="X33" s="592">
        <f>SUM($G33:P33)</f>
        <v>4219086.1380536789</v>
      </c>
      <c r="Y33" s="592">
        <f>SUM($G33:S33)</f>
        <v>9868419.4177577533</v>
      </c>
      <c r="Z33" s="375"/>
      <c r="AA33" s="375"/>
      <c r="AB33" s="375"/>
      <c r="AC33" s="375"/>
      <c r="AD33" s="375"/>
      <c r="AE33" s="375"/>
      <c r="AF33" s="375"/>
      <c r="AG33" s="375"/>
      <c r="AH33" s="375"/>
    </row>
    <row r="34" spans="1:34" x14ac:dyDescent="0.3">
      <c r="A34" s="459" t="s">
        <v>374</v>
      </c>
      <c r="B34" s="459"/>
      <c r="C34" s="459"/>
      <c r="D34" s="457" t="s">
        <v>491</v>
      </c>
      <c r="E34" s="458">
        <f t="shared" ref="E34:H34" si="29">E27</f>
        <v>0</v>
      </c>
      <c r="F34" s="458">
        <f t="shared" si="29"/>
        <v>0</v>
      </c>
      <c r="G34" s="458">
        <f t="shared" si="29"/>
        <v>134950.22068700826</v>
      </c>
      <c r="H34" s="458">
        <f t="shared" si="29"/>
        <v>269900.44137401652</v>
      </c>
      <c r="I34" s="458">
        <f>I27</f>
        <v>424129.2650163116</v>
      </c>
      <c r="J34" s="458">
        <f t="shared" ref="J34:S34" si="30">J27</f>
        <v>713308.30934561498</v>
      </c>
      <c r="K34" s="458">
        <f t="shared" si="30"/>
        <v>1089241.0669737095</v>
      </c>
      <c r="L34" s="458">
        <f t="shared" si="30"/>
        <v>1484452.4275570905</v>
      </c>
      <c r="M34" s="458">
        <f t="shared" si="30"/>
        <v>1879663.7881404723</v>
      </c>
      <c r="N34" s="458">
        <f t="shared" si="30"/>
        <v>2361628.8620226444</v>
      </c>
      <c r="O34" s="458">
        <f t="shared" si="30"/>
        <v>2978544.1565918247</v>
      </c>
      <c r="P34" s="458">
        <f t="shared" si="30"/>
        <v>3354476.9142199191</v>
      </c>
      <c r="Q34" s="458">
        <f t="shared" si="30"/>
        <v>4501553.7900594892</v>
      </c>
      <c r="R34" s="458">
        <f t="shared" si="30"/>
        <v>5407648.1289579738</v>
      </c>
      <c r="S34" s="458">
        <f t="shared" si="30"/>
        <v>6680035.9240069073</v>
      </c>
      <c r="T34" s="393">
        <f t="shared" si="22"/>
        <v>31279533.294952981</v>
      </c>
      <c r="U34" s="375"/>
      <c r="V34" s="592">
        <f>SUM($G34:I34)</f>
        <v>828979.92707733647</v>
      </c>
      <c r="W34" s="592">
        <f>SUM($G34:K34)</f>
        <v>2631529.3033966608</v>
      </c>
      <c r="X34" s="592">
        <f>SUM($G34:P34)</f>
        <v>14690295.451928612</v>
      </c>
      <c r="Y34" s="592">
        <f>SUM($G34:S34)</f>
        <v>31279533.294952981</v>
      </c>
      <c r="Z34" s="375"/>
      <c r="AA34" s="375"/>
      <c r="AB34" s="375"/>
      <c r="AC34" s="375"/>
      <c r="AD34" s="375"/>
      <c r="AE34" s="375"/>
      <c r="AF34" s="375"/>
      <c r="AG34" s="375"/>
      <c r="AH34" s="375"/>
    </row>
    <row r="35" spans="1:34" x14ac:dyDescent="0.3">
      <c r="A35" s="454"/>
      <c r="B35" s="454"/>
      <c r="C35" s="454"/>
      <c r="D35" s="438"/>
      <c r="E35" s="439"/>
      <c r="F35" s="443"/>
      <c r="G35" s="443"/>
      <c r="H35" s="388"/>
      <c r="I35" s="388"/>
      <c r="J35" s="388"/>
      <c r="K35" s="388"/>
      <c r="L35" s="388"/>
      <c r="M35" s="388"/>
      <c r="N35" s="388"/>
      <c r="O35" s="388"/>
      <c r="P35" s="388"/>
      <c r="Q35" s="388"/>
      <c r="R35" s="388"/>
      <c r="S35" s="388"/>
      <c r="T35" s="388"/>
      <c r="U35" s="375"/>
      <c r="V35" s="379"/>
      <c r="W35" s="379"/>
      <c r="X35" s="379"/>
      <c r="Y35" s="379"/>
      <c r="Z35" s="375"/>
      <c r="AA35" s="375"/>
      <c r="AB35" s="375"/>
      <c r="AC35" s="375"/>
      <c r="AD35" s="375"/>
      <c r="AE35" s="375"/>
      <c r="AF35" s="375"/>
      <c r="AG35" s="375"/>
      <c r="AH35" s="375"/>
    </row>
    <row r="36" spans="1:34" x14ac:dyDescent="0.3">
      <c r="A36" s="461" t="s">
        <v>375</v>
      </c>
      <c r="B36" s="461"/>
      <c r="C36" s="461"/>
      <c r="D36" s="457"/>
      <c r="E36" s="462"/>
      <c r="F36" s="462"/>
      <c r="G36" s="462">
        <f>SUM(G37:G38)</f>
        <v>19.32</v>
      </c>
      <c r="H36" s="462">
        <f t="shared" ref="H36:S36" si="31">SUM(H37:H38)</f>
        <v>38.64</v>
      </c>
      <c r="I36" s="462">
        <f t="shared" si="31"/>
        <v>60.719999999999992</v>
      </c>
      <c r="J36" s="462">
        <f t="shared" si="31"/>
        <v>94.391999999999996</v>
      </c>
      <c r="K36" s="462">
        <f t="shared" si="31"/>
        <v>140.48400000000001</v>
      </c>
      <c r="L36" s="462">
        <f t="shared" si="31"/>
        <v>188.232</v>
      </c>
      <c r="M36" s="462">
        <f t="shared" si="31"/>
        <v>235.98000000000002</v>
      </c>
      <c r="N36" s="462">
        <f t="shared" si="31"/>
        <v>291.18</v>
      </c>
      <c r="O36" s="462">
        <f t="shared" si="31"/>
        <v>354.10799999999995</v>
      </c>
      <c r="P36" s="462">
        <f t="shared" si="31"/>
        <v>382.53600000000006</v>
      </c>
      <c r="Q36" s="462">
        <f t="shared" si="31"/>
        <v>500.38800000000003</v>
      </c>
      <c r="R36" s="462">
        <f t="shared" si="31"/>
        <v>583.74</v>
      </c>
      <c r="S36" s="462">
        <f t="shared" si="31"/>
        <v>688.61999999999989</v>
      </c>
      <c r="T36" s="391">
        <f>S36</f>
        <v>688.61999999999989</v>
      </c>
      <c r="U36" s="375"/>
      <c r="V36" s="387">
        <f>I36</f>
        <v>60.719999999999992</v>
      </c>
      <c r="W36" s="387">
        <f>K36</f>
        <v>140.48400000000001</v>
      </c>
      <c r="X36" s="387">
        <f>P36</f>
        <v>382.53600000000006</v>
      </c>
      <c r="Y36" s="387">
        <f>S36</f>
        <v>688.61999999999989</v>
      </c>
      <c r="Z36" s="375"/>
      <c r="AA36" s="375"/>
      <c r="AB36" s="375"/>
      <c r="AC36" s="375"/>
      <c r="AD36" s="375"/>
      <c r="AE36" s="375"/>
      <c r="AF36" s="375"/>
      <c r="AG36" s="375"/>
      <c r="AH36" s="375"/>
    </row>
    <row r="37" spans="1:34" x14ac:dyDescent="0.3">
      <c r="A37" s="463" t="str">
        <f>'Eeldused SotsMajand. moju'!A18</f>
        <v>Inkubant-ettevõtted</v>
      </c>
      <c r="B37" s="463"/>
      <c r="C37" s="463"/>
      <c r="D37" s="457" t="s">
        <v>493</v>
      </c>
      <c r="E37" s="462"/>
      <c r="F37" s="462"/>
      <c r="G37" s="462">
        <f t="shared" ref="G37:S37" si="32">G21</f>
        <v>19.32</v>
      </c>
      <c r="H37" s="462">
        <f t="shared" si="32"/>
        <v>38.64</v>
      </c>
      <c r="I37" s="462">
        <f t="shared" si="32"/>
        <v>60.719999999999992</v>
      </c>
      <c r="J37" s="462">
        <f t="shared" si="32"/>
        <v>94.391999999999996</v>
      </c>
      <c r="K37" s="462">
        <f t="shared" si="32"/>
        <v>140.48400000000001</v>
      </c>
      <c r="L37" s="462">
        <f t="shared" si="32"/>
        <v>188.232</v>
      </c>
      <c r="M37" s="462">
        <f t="shared" si="32"/>
        <v>235.98000000000002</v>
      </c>
      <c r="N37" s="462">
        <f t="shared" si="32"/>
        <v>291.18</v>
      </c>
      <c r="O37" s="462">
        <f t="shared" si="32"/>
        <v>354.10799999999995</v>
      </c>
      <c r="P37" s="462">
        <f t="shared" si="32"/>
        <v>382.53600000000006</v>
      </c>
      <c r="Q37" s="462">
        <f t="shared" si="32"/>
        <v>500.38800000000003</v>
      </c>
      <c r="R37" s="462">
        <f t="shared" si="32"/>
        <v>583.74</v>
      </c>
      <c r="S37" s="462">
        <f t="shared" si="32"/>
        <v>688.61999999999989</v>
      </c>
      <c r="T37" s="391">
        <f t="shared" ref="T37:T38" si="33">S37</f>
        <v>688.61999999999989</v>
      </c>
      <c r="U37" s="375"/>
      <c r="V37" s="387">
        <f>I37</f>
        <v>60.719999999999992</v>
      </c>
      <c r="W37" s="387">
        <f>K37</f>
        <v>140.48400000000001</v>
      </c>
      <c r="X37" s="387">
        <f>P37</f>
        <v>382.53600000000006</v>
      </c>
      <c r="Y37" s="387">
        <f t="shared" ref="Y37:Y38" si="34">S37</f>
        <v>688.61999999999989</v>
      </c>
      <c r="Z37" s="375"/>
      <c r="AA37" s="375"/>
      <c r="AB37" s="375"/>
      <c r="AC37" s="375"/>
      <c r="AD37" s="375"/>
      <c r="AE37" s="375"/>
      <c r="AF37" s="375"/>
      <c r="AG37" s="375"/>
      <c r="AH37" s="375"/>
    </row>
    <row r="38" spans="1:34" hidden="1" x14ac:dyDescent="0.3">
      <c r="A38" s="463"/>
      <c r="B38" s="463"/>
      <c r="C38" s="463"/>
      <c r="D38" s="457"/>
      <c r="E38" s="464"/>
      <c r="F38" s="464"/>
      <c r="G38" s="464"/>
      <c r="H38" s="464"/>
      <c r="I38" s="464"/>
      <c r="J38" s="464"/>
      <c r="K38" s="464"/>
      <c r="L38" s="464"/>
      <c r="M38" s="464"/>
      <c r="N38" s="464"/>
      <c r="O38" s="464"/>
      <c r="P38" s="464"/>
      <c r="Q38" s="464"/>
      <c r="R38" s="464"/>
      <c r="S38" s="464"/>
      <c r="T38" s="391">
        <f t="shared" si="33"/>
        <v>0</v>
      </c>
      <c r="U38" s="375"/>
      <c r="V38" s="387">
        <f>I38</f>
        <v>0</v>
      </c>
      <c r="W38" s="387">
        <f>K38</f>
        <v>0</v>
      </c>
      <c r="X38" s="387">
        <f>P38</f>
        <v>0</v>
      </c>
      <c r="Y38" s="387">
        <f t="shared" si="34"/>
        <v>0</v>
      </c>
      <c r="Z38" s="375"/>
      <c r="AA38" s="375"/>
      <c r="AB38" s="375"/>
      <c r="AC38" s="375"/>
      <c r="AD38" s="375"/>
      <c r="AE38" s="375"/>
      <c r="AF38" s="375"/>
      <c r="AG38" s="375"/>
      <c r="AH38" s="375"/>
    </row>
    <row r="39" spans="1:34" x14ac:dyDescent="0.3">
      <c r="A39" s="440"/>
      <c r="B39" s="440"/>
      <c r="C39" s="440"/>
      <c r="D39" s="438"/>
      <c r="E39" s="448"/>
      <c r="F39" s="448"/>
      <c r="G39" s="448"/>
      <c r="H39" s="387"/>
      <c r="I39" s="387"/>
      <c r="J39" s="387"/>
      <c r="K39" s="387"/>
      <c r="L39" s="387"/>
      <c r="M39" s="387"/>
      <c r="N39" s="387"/>
      <c r="O39" s="387"/>
      <c r="P39" s="387"/>
      <c r="Q39" s="387"/>
      <c r="R39" s="387"/>
      <c r="S39" s="387"/>
      <c r="T39" s="387"/>
      <c r="U39" s="375"/>
      <c r="V39" s="379"/>
      <c r="W39" s="379"/>
      <c r="X39" s="379"/>
      <c r="Y39" s="379"/>
      <c r="Z39" s="375"/>
      <c r="AA39" s="375"/>
      <c r="AB39" s="375"/>
      <c r="AC39" s="375"/>
      <c r="AD39" s="375"/>
      <c r="AE39" s="375"/>
      <c r="AF39" s="375"/>
      <c r="AG39" s="375"/>
      <c r="AH39" s="375"/>
    </row>
    <row r="40" spans="1:34" x14ac:dyDescent="0.3">
      <c r="A40" s="461" t="s">
        <v>376</v>
      </c>
      <c r="B40" s="463"/>
      <c r="C40" s="463"/>
      <c r="D40" s="457"/>
      <c r="E40" s="464"/>
      <c r="F40" s="464"/>
      <c r="G40" s="464">
        <f>SUM(G41:G42)</f>
        <v>8.4</v>
      </c>
      <c r="H40" s="464">
        <f t="shared" ref="H40:S40" si="35">SUM(H41:H42)</f>
        <v>16.8</v>
      </c>
      <c r="I40" s="464">
        <f t="shared" si="35"/>
        <v>26.4</v>
      </c>
      <c r="J40" s="464">
        <f t="shared" si="35"/>
        <v>36</v>
      </c>
      <c r="K40" s="464">
        <f t="shared" si="35"/>
        <v>51</v>
      </c>
      <c r="L40" s="464">
        <f t="shared" si="35"/>
        <v>66</v>
      </c>
      <c r="M40" s="464">
        <f t="shared" si="35"/>
        <v>81</v>
      </c>
      <c r="N40" s="464">
        <f t="shared" si="35"/>
        <v>96</v>
      </c>
      <c r="O40" s="464">
        <f t="shared" si="35"/>
        <v>111</v>
      </c>
      <c r="P40" s="464">
        <f t="shared" si="35"/>
        <v>126</v>
      </c>
      <c r="Q40" s="464">
        <f t="shared" si="35"/>
        <v>141</v>
      </c>
      <c r="R40" s="464">
        <f t="shared" si="35"/>
        <v>156</v>
      </c>
      <c r="S40" s="464">
        <f t="shared" si="35"/>
        <v>171</v>
      </c>
      <c r="T40" s="392">
        <f>S40</f>
        <v>171</v>
      </c>
      <c r="U40" s="375"/>
      <c r="V40" s="387">
        <f>V41+V42</f>
        <v>26.4</v>
      </c>
      <c r="W40" s="387">
        <f>W41+W42</f>
        <v>51</v>
      </c>
      <c r="X40" s="387">
        <f>X41+X42</f>
        <v>126</v>
      </c>
      <c r="Y40" s="387">
        <f>Y41+Y42</f>
        <v>171</v>
      </c>
      <c r="Z40" s="375"/>
      <c r="AA40" s="375"/>
      <c r="AB40" s="375"/>
      <c r="AC40" s="375"/>
      <c r="AD40" s="375"/>
      <c r="AE40" s="375"/>
      <c r="AF40" s="375"/>
      <c r="AG40" s="375"/>
      <c r="AH40" s="375"/>
    </row>
    <row r="41" spans="1:34" x14ac:dyDescent="0.3">
      <c r="A41" s="463" t="str">
        <f>A37</f>
        <v>Inkubant-ettevõtted</v>
      </c>
      <c r="B41" s="463"/>
      <c r="C41" s="463"/>
      <c r="D41" s="457" t="s">
        <v>538</v>
      </c>
      <c r="E41" s="464"/>
      <c r="F41" s="464"/>
      <c r="G41" s="464">
        <f t="shared" ref="G41:S41" si="36">G10</f>
        <v>8.4</v>
      </c>
      <c r="H41" s="464">
        <f t="shared" si="36"/>
        <v>16.8</v>
      </c>
      <c r="I41" s="464">
        <f t="shared" si="36"/>
        <v>26.4</v>
      </c>
      <c r="J41" s="464">
        <f t="shared" si="36"/>
        <v>36</v>
      </c>
      <c r="K41" s="464">
        <f t="shared" si="36"/>
        <v>51</v>
      </c>
      <c r="L41" s="464">
        <f t="shared" si="36"/>
        <v>66</v>
      </c>
      <c r="M41" s="464">
        <f t="shared" si="36"/>
        <v>81</v>
      </c>
      <c r="N41" s="464">
        <f t="shared" si="36"/>
        <v>96</v>
      </c>
      <c r="O41" s="464">
        <f t="shared" si="36"/>
        <v>111</v>
      </c>
      <c r="P41" s="464">
        <f t="shared" si="36"/>
        <v>126</v>
      </c>
      <c r="Q41" s="464">
        <f t="shared" si="36"/>
        <v>141</v>
      </c>
      <c r="R41" s="464">
        <f t="shared" si="36"/>
        <v>156</v>
      </c>
      <c r="S41" s="464">
        <f t="shared" si="36"/>
        <v>171</v>
      </c>
      <c r="T41" s="392">
        <f t="shared" ref="T41:T42" si="37">S41</f>
        <v>171</v>
      </c>
      <c r="U41" s="375"/>
      <c r="V41" s="387">
        <f>I41</f>
        <v>26.4</v>
      </c>
      <c r="W41" s="387">
        <f>K41</f>
        <v>51</v>
      </c>
      <c r="X41" s="387">
        <f>P41</f>
        <v>126</v>
      </c>
      <c r="Y41" s="387">
        <f>S41</f>
        <v>171</v>
      </c>
      <c r="Z41" s="375"/>
      <c r="AA41" s="375"/>
      <c r="AB41" s="375"/>
      <c r="AC41" s="375"/>
      <c r="AD41" s="375"/>
      <c r="AE41" s="375"/>
      <c r="AF41" s="375"/>
      <c r="AG41" s="375"/>
      <c r="AH41" s="375"/>
    </row>
    <row r="42" spans="1:34" hidden="1" x14ac:dyDescent="0.3">
      <c r="A42" s="463"/>
      <c r="B42" s="463"/>
      <c r="C42" s="463"/>
      <c r="D42" s="457"/>
      <c r="E42" s="464"/>
      <c r="F42" s="464"/>
      <c r="G42" s="464"/>
      <c r="H42" s="464"/>
      <c r="I42" s="464"/>
      <c r="J42" s="464"/>
      <c r="K42" s="464"/>
      <c r="L42" s="464"/>
      <c r="M42" s="464"/>
      <c r="N42" s="464"/>
      <c r="O42" s="464"/>
      <c r="P42" s="464"/>
      <c r="Q42" s="464"/>
      <c r="R42" s="464"/>
      <c r="S42" s="464"/>
      <c r="T42" s="392">
        <f t="shared" si="37"/>
        <v>0</v>
      </c>
      <c r="U42" s="375"/>
      <c r="V42" s="387">
        <f>I42</f>
        <v>0</v>
      </c>
      <c r="W42" s="387">
        <f>K42</f>
        <v>0</v>
      </c>
      <c r="X42" s="387">
        <f>P42</f>
        <v>0</v>
      </c>
      <c r="Y42" s="387">
        <f>S42</f>
        <v>0</v>
      </c>
      <c r="Z42" s="375"/>
      <c r="AA42" s="375"/>
      <c r="AB42" s="375"/>
      <c r="AC42" s="375"/>
      <c r="AD42" s="375"/>
      <c r="AE42" s="375"/>
      <c r="AF42" s="375"/>
      <c r="AG42" s="375"/>
      <c r="AH42" s="375"/>
    </row>
    <row r="43" spans="1:34" x14ac:dyDescent="0.3">
      <c r="A43" s="440"/>
      <c r="B43" s="439"/>
      <c r="C43" s="439"/>
      <c r="D43" s="438"/>
      <c r="E43" s="443"/>
      <c r="F43" s="443"/>
      <c r="G43" s="443"/>
      <c r="H43" s="388"/>
      <c r="I43" s="388"/>
      <c r="J43" s="388"/>
      <c r="K43" s="388"/>
      <c r="L43" s="388"/>
      <c r="M43" s="388"/>
      <c r="N43" s="388"/>
      <c r="O43" s="388"/>
      <c r="P43" s="388"/>
      <c r="Q43" s="388"/>
      <c r="R43" s="388"/>
      <c r="S43" s="388"/>
      <c r="T43" s="387"/>
      <c r="U43" s="375"/>
      <c r="V43" s="379"/>
      <c r="W43" s="379"/>
      <c r="X43" s="379"/>
      <c r="Y43" s="379"/>
      <c r="Z43" s="375"/>
      <c r="AA43" s="375"/>
      <c r="AB43" s="375"/>
      <c r="AC43" s="375"/>
      <c r="AD43" s="375"/>
      <c r="AE43" s="375"/>
      <c r="AF43" s="375"/>
      <c r="AG43" s="375"/>
      <c r="AH43" s="375"/>
    </row>
    <row r="44" spans="1:34" x14ac:dyDescent="0.3">
      <c r="A44" s="456" t="s">
        <v>377</v>
      </c>
      <c r="B44" s="465"/>
      <c r="C44" s="465"/>
      <c r="D44" s="457"/>
      <c r="E44" s="462"/>
      <c r="F44" s="462"/>
      <c r="G44" s="462"/>
      <c r="H44" s="391"/>
      <c r="I44" s="391"/>
      <c r="J44" s="391"/>
      <c r="K44" s="391"/>
      <c r="L44" s="391"/>
      <c r="M44" s="391"/>
      <c r="N44" s="391"/>
      <c r="O44" s="391"/>
      <c r="P44" s="391"/>
      <c r="Q44" s="391"/>
      <c r="R44" s="391"/>
      <c r="S44" s="391"/>
      <c r="T44" s="392"/>
      <c r="U44" s="375"/>
      <c r="V44" s="379"/>
      <c r="W44" s="379"/>
      <c r="X44" s="379"/>
      <c r="Y44" s="379"/>
      <c r="Z44" s="375"/>
      <c r="AA44" s="375"/>
      <c r="AB44" s="375"/>
      <c r="AC44" s="375"/>
      <c r="AD44" s="375"/>
      <c r="AE44" s="375"/>
      <c r="AF44" s="375"/>
      <c r="AG44" s="375"/>
      <c r="AH44" s="375"/>
    </row>
    <row r="45" spans="1:34" x14ac:dyDescent="0.3">
      <c r="A45" s="463" t="s">
        <v>1</v>
      </c>
      <c r="B45" s="465"/>
      <c r="C45" s="465"/>
      <c r="D45" s="457" t="s">
        <v>491</v>
      </c>
      <c r="E45" s="458"/>
      <c r="F45" s="458"/>
      <c r="G45" s="466">
        <f t="shared" ref="G45:H47" si="38">G18</f>
        <v>1680000</v>
      </c>
      <c r="H45" s="466">
        <f t="shared" si="38"/>
        <v>3360000</v>
      </c>
      <c r="I45" s="466">
        <f t="shared" ref="I45:S45" si="39">I18</f>
        <v>5280000</v>
      </c>
      <c r="J45" s="466">
        <f t="shared" si="39"/>
        <v>8880000</v>
      </c>
      <c r="K45" s="466">
        <f t="shared" si="39"/>
        <v>13560000</v>
      </c>
      <c r="L45" s="466">
        <f t="shared" si="39"/>
        <v>18480000</v>
      </c>
      <c r="M45" s="466">
        <f t="shared" si="39"/>
        <v>23400000</v>
      </c>
      <c r="N45" s="466">
        <f t="shared" si="39"/>
        <v>29400000</v>
      </c>
      <c r="O45" s="466">
        <f t="shared" si="39"/>
        <v>37080000</v>
      </c>
      <c r="P45" s="466">
        <f t="shared" si="39"/>
        <v>41760000</v>
      </c>
      <c r="Q45" s="466">
        <f t="shared" si="39"/>
        <v>56040000</v>
      </c>
      <c r="R45" s="466">
        <f t="shared" si="39"/>
        <v>67320000</v>
      </c>
      <c r="S45" s="466">
        <f t="shared" si="39"/>
        <v>83160000</v>
      </c>
      <c r="T45" s="393">
        <f>SUM(E45:S45)</f>
        <v>389400000</v>
      </c>
      <c r="U45" s="375"/>
      <c r="V45" s="389">
        <f>SUM($G45:I45)</f>
        <v>10320000</v>
      </c>
      <c r="W45" s="389">
        <f>SUM($G45:K45)</f>
        <v>32760000</v>
      </c>
      <c r="X45" s="389">
        <f>SUM($G45:P45)</f>
        <v>182880000</v>
      </c>
      <c r="Y45" s="389">
        <f>SUM($G45:S45)</f>
        <v>389400000</v>
      </c>
      <c r="Z45" s="375"/>
      <c r="AA45" s="375"/>
      <c r="AB45" s="375"/>
      <c r="AC45" s="375"/>
      <c r="AD45" s="375"/>
      <c r="AE45" s="375"/>
      <c r="AF45" s="375"/>
      <c r="AG45" s="375"/>
      <c r="AH45" s="375"/>
    </row>
    <row r="46" spans="1:34" x14ac:dyDescent="0.3">
      <c r="A46" s="463" t="s">
        <v>358</v>
      </c>
      <c r="B46" s="465"/>
      <c r="C46" s="465"/>
      <c r="D46" s="457" t="s">
        <v>491</v>
      </c>
      <c r="E46" s="458"/>
      <c r="F46" s="458"/>
      <c r="G46" s="466">
        <f t="shared" si="38"/>
        <v>840000</v>
      </c>
      <c r="H46" s="466">
        <f t="shared" si="38"/>
        <v>1680000</v>
      </c>
      <c r="I46" s="466">
        <f t="shared" ref="I46:S46" si="40">I19</f>
        <v>2640000</v>
      </c>
      <c r="J46" s="466">
        <f t="shared" si="40"/>
        <v>5784000</v>
      </c>
      <c r="K46" s="466">
        <f t="shared" si="40"/>
        <v>9468000</v>
      </c>
      <c r="L46" s="466">
        <f t="shared" si="40"/>
        <v>13464000</v>
      </c>
      <c r="M46" s="466">
        <f t="shared" si="40"/>
        <v>17460000</v>
      </c>
      <c r="N46" s="466">
        <f t="shared" si="40"/>
        <v>22860000</v>
      </c>
      <c r="O46" s="466">
        <f t="shared" si="40"/>
        <v>29772000</v>
      </c>
      <c r="P46" s="466">
        <f t="shared" si="40"/>
        <v>35184000</v>
      </c>
      <c r="Q46" s="466">
        <f t="shared" si="40"/>
        <v>46836000</v>
      </c>
      <c r="R46" s="466">
        <f t="shared" si="40"/>
        <v>56988000</v>
      </c>
      <c r="S46" s="466">
        <f t="shared" si="40"/>
        <v>71244000</v>
      </c>
      <c r="T46" s="393">
        <f>SUM(E46:S46)</f>
        <v>314220000</v>
      </c>
      <c r="U46" s="375"/>
      <c r="V46" s="389">
        <f>SUM($G46:I46)</f>
        <v>5160000</v>
      </c>
      <c r="W46" s="389">
        <f>SUM($G46:K46)</f>
        <v>20412000</v>
      </c>
      <c r="X46" s="389">
        <f>SUM($G46:P46)</f>
        <v>139152000</v>
      </c>
      <c r="Y46" s="389">
        <f>SUM($G46:S46)</f>
        <v>314220000</v>
      </c>
      <c r="Z46" s="375"/>
      <c r="AA46" s="394"/>
      <c r="AB46" s="375"/>
      <c r="AC46" s="375"/>
      <c r="AD46" s="375"/>
      <c r="AE46" s="375"/>
      <c r="AF46" s="375"/>
      <c r="AG46" s="375"/>
      <c r="AH46" s="375"/>
    </row>
    <row r="47" spans="1:34" x14ac:dyDescent="0.3">
      <c r="A47" s="463" t="s">
        <v>378</v>
      </c>
      <c r="B47" s="462"/>
      <c r="C47" s="467"/>
      <c r="D47" s="457" t="s">
        <v>491</v>
      </c>
      <c r="E47" s="458"/>
      <c r="F47" s="458"/>
      <c r="G47" s="466">
        <f t="shared" si="38"/>
        <v>613410.0940318557</v>
      </c>
      <c r="H47" s="466">
        <f t="shared" si="38"/>
        <v>1226820.1880637114</v>
      </c>
      <c r="I47" s="466">
        <f t="shared" ref="I47:S47" si="41">I20</f>
        <v>1927860.2955286892</v>
      </c>
      <c r="J47" s="466">
        <f t="shared" si="41"/>
        <v>3242310.4970255229</v>
      </c>
      <c r="K47" s="466">
        <f t="shared" si="41"/>
        <v>4951095.7589714071</v>
      </c>
      <c r="L47" s="466">
        <f t="shared" si="41"/>
        <v>6747511.034350412</v>
      </c>
      <c r="M47" s="466">
        <f t="shared" si="41"/>
        <v>8543926.3097294196</v>
      </c>
      <c r="N47" s="466">
        <f t="shared" si="41"/>
        <v>10734676.645557474</v>
      </c>
      <c r="O47" s="466">
        <f t="shared" si="41"/>
        <v>13538837.075417385</v>
      </c>
      <c r="P47" s="466">
        <f t="shared" si="41"/>
        <v>15247622.337363269</v>
      </c>
      <c r="Q47" s="466">
        <f t="shared" si="41"/>
        <v>20461608.136634041</v>
      </c>
      <c r="R47" s="466">
        <f t="shared" si="41"/>
        <v>24580218.76799079</v>
      </c>
      <c r="S47" s="466">
        <f t="shared" si="41"/>
        <v>30363799.654576853</v>
      </c>
      <c r="T47" s="393">
        <f>SUM(E47:S47)</f>
        <v>142179696.79524082</v>
      </c>
      <c r="U47" s="375"/>
      <c r="V47" s="389">
        <f>SUM($G47:I47)</f>
        <v>3768090.5776242563</v>
      </c>
      <c r="W47" s="389">
        <f>SUM($G47:K47)</f>
        <v>11961496.833621185</v>
      </c>
      <c r="X47" s="389">
        <f>SUM($G47:P47)</f>
        <v>66774070.236039147</v>
      </c>
      <c r="Y47" s="389">
        <f>SUM($G47:S47)</f>
        <v>142179696.79524082</v>
      </c>
      <c r="Z47" s="375"/>
      <c r="AA47" s="394"/>
      <c r="AB47" s="375"/>
      <c r="AC47" s="375"/>
      <c r="AD47" s="375"/>
      <c r="AE47" s="375"/>
      <c r="AF47" s="375"/>
      <c r="AG47" s="375"/>
      <c r="AH47" s="375"/>
    </row>
    <row r="48" spans="1:34" x14ac:dyDescent="0.3">
      <c r="A48" s="468"/>
      <c r="B48" s="469"/>
      <c r="C48" s="469"/>
      <c r="D48" s="470"/>
      <c r="E48" s="471"/>
      <c r="F48" s="471"/>
      <c r="G48" s="471"/>
      <c r="H48" s="395"/>
      <c r="I48" s="395"/>
      <c r="J48" s="395"/>
      <c r="K48" s="395"/>
      <c r="L48" s="395"/>
      <c r="M48" s="395"/>
      <c r="N48" s="395"/>
      <c r="O48" s="395"/>
      <c r="P48" s="395"/>
      <c r="Q48" s="395"/>
      <c r="R48" s="395"/>
      <c r="S48" s="395"/>
      <c r="T48" s="396"/>
      <c r="U48" s="375"/>
      <c r="V48" s="375"/>
      <c r="W48" s="375"/>
      <c r="X48" s="375"/>
      <c r="Y48" s="375"/>
      <c r="Z48" s="375"/>
      <c r="AA48" s="375"/>
      <c r="AB48" s="375"/>
      <c r="AC48" s="375"/>
      <c r="AD48" s="375"/>
      <c r="AE48" s="375"/>
      <c r="AF48" s="375"/>
      <c r="AG48" s="375"/>
      <c r="AH48" s="375"/>
    </row>
    <row r="49" spans="1:34" x14ac:dyDescent="0.3">
      <c r="A49" s="472" t="s">
        <v>360</v>
      </c>
      <c r="B49" s="469"/>
      <c r="C49" s="469"/>
      <c r="D49" s="470"/>
      <c r="E49" s="471"/>
      <c r="F49" s="471"/>
      <c r="G49" s="471"/>
      <c r="H49" s="395"/>
      <c r="I49" s="395"/>
      <c r="J49" s="395"/>
      <c r="K49" s="395"/>
      <c r="L49" s="395"/>
      <c r="M49" s="395"/>
      <c r="N49" s="395"/>
      <c r="O49" s="395"/>
      <c r="P49" s="395"/>
      <c r="Q49" s="395"/>
      <c r="R49" s="395"/>
      <c r="S49" s="395"/>
      <c r="T49" s="396"/>
      <c r="U49" s="375"/>
      <c r="V49" s="375"/>
      <c r="W49" s="375"/>
      <c r="X49" s="375"/>
      <c r="Y49" s="375"/>
      <c r="Z49" s="375"/>
      <c r="AA49" s="375"/>
      <c r="AB49" s="375"/>
      <c r="AC49" s="375"/>
      <c r="AD49" s="375"/>
      <c r="AE49" s="375"/>
      <c r="AF49" s="375"/>
      <c r="AG49" s="375"/>
      <c r="AH49" s="375"/>
    </row>
    <row r="50" spans="1:34" x14ac:dyDescent="0.3">
      <c r="A50" s="691"/>
      <c r="B50" s="691"/>
      <c r="C50" s="691"/>
      <c r="D50" s="692"/>
      <c r="E50" s="436">
        <f t="shared" ref="E50:T50" si="42">E3</f>
        <v>2024</v>
      </c>
      <c r="F50" s="436">
        <f t="shared" si="42"/>
        <v>2025</v>
      </c>
      <c r="G50" s="436">
        <f t="shared" si="42"/>
        <v>2026</v>
      </c>
      <c r="H50" s="436">
        <f t="shared" si="42"/>
        <v>2027</v>
      </c>
      <c r="I50" s="436">
        <f t="shared" si="42"/>
        <v>2028</v>
      </c>
      <c r="J50" s="436">
        <f t="shared" si="42"/>
        <v>2029</v>
      </c>
      <c r="K50" s="436">
        <f t="shared" si="42"/>
        <v>2030</v>
      </c>
      <c r="L50" s="436">
        <f t="shared" si="42"/>
        <v>2031</v>
      </c>
      <c r="M50" s="436">
        <f t="shared" si="42"/>
        <v>2032</v>
      </c>
      <c r="N50" s="436">
        <f t="shared" si="42"/>
        <v>2033</v>
      </c>
      <c r="O50" s="436">
        <f t="shared" si="42"/>
        <v>2034</v>
      </c>
      <c r="P50" s="436">
        <f t="shared" si="42"/>
        <v>2035</v>
      </c>
      <c r="Q50" s="436">
        <f t="shared" si="42"/>
        <v>2036</v>
      </c>
      <c r="R50" s="436">
        <f t="shared" si="42"/>
        <v>2037</v>
      </c>
      <c r="S50" s="436">
        <f t="shared" si="42"/>
        <v>2038</v>
      </c>
      <c r="T50" s="436" t="str">
        <f t="shared" si="42"/>
        <v>Kokku</v>
      </c>
      <c r="U50" s="375"/>
      <c r="V50" s="375"/>
      <c r="X50" s="375"/>
      <c r="Y50" s="375"/>
      <c r="Z50" s="375"/>
      <c r="AA50" s="375"/>
      <c r="AB50" s="375"/>
      <c r="AC50" s="375"/>
      <c r="AD50" s="375"/>
      <c r="AE50" s="375"/>
      <c r="AF50" s="375"/>
      <c r="AG50" s="375"/>
      <c r="AH50" s="375"/>
    </row>
    <row r="51" spans="1:34" x14ac:dyDescent="0.3">
      <c r="A51" s="473" t="s">
        <v>361</v>
      </c>
      <c r="B51" s="473"/>
      <c r="C51" s="473"/>
      <c r="D51" s="438" t="s">
        <v>491</v>
      </c>
      <c r="E51" s="450">
        <f>'1. Projekti elluviimise kulud'!D41</f>
        <v>50000</v>
      </c>
      <c r="F51" s="450">
        <f>'1. Projekti elluviimise kulud'!E41</f>
        <v>3100000</v>
      </c>
      <c r="G51" s="450">
        <f>'1. Projekti elluviimise kulud'!F41</f>
        <v>122000</v>
      </c>
      <c r="H51" s="390">
        <v>0</v>
      </c>
      <c r="I51" s="390">
        <v>0</v>
      </c>
      <c r="J51" s="390">
        <v>0</v>
      </c>
      <c r="K51" s="390">
        <v>0</v>
      </c>
      <c r="L51" s="390">
        <v>0</v>
      </c>
      <c r="M51" s="390">
        <v>0</v>
      </c>
      <c r="N51" s="390">
        <v>0</v>
      </c>
      <c r="O51" s="390">
        <v>0</v>
      </c>
      <c r="P51" s="390">
        <v>0</v>
      </c>
      <c r="Q51" s="390">
        <v>0</v>
      </c>
      <c r="R51" s="390">
        <v>0</v>
      </c>
      <c r="S51" s="390">
        <v>0</v>
      </c>
      <c r="T51" s="592">
        <f>SUM(E51:S51)</f>
        <v>3272000</v>
      </c>
      <c r="U51" s="375"/>
      <c r="V51" s="394"/>
      <c r="W51" s="394"/>
      <c r="X51" s="394"/>
      <c r="Y51" s="394"/>
      <c r="Z51" s="375"/>
      <c r="AA51" s="375"/>
      <c r="AB51" s="375"/>
      <c r="AC51" s="375"/>
      <c r="AD51" s="375"/>
      <c r="AE51" s="375"/>
      <c r="AF51" s="375"/>
      <c r="AG51" s="375"/>
      <c r="AH51" s="375"/>
    </row>
    <row r="52" spans="1:34" x14ac:dyDescent="0.3">
      <c r="A52" s="469"/>
      <c r="B52" s="469"/>
      <c r="C52" s="469"/>
      <c r="D52" s="470"/>
      <c r="E52" s="469"/>
      <c r="F52" s="469"/>
      <c r="G52" s="469"/>
      <c r="U52" s="375"/>
      <c r="V52" s="375"/>
      <c r="W52" s="375"/>
      <c r="X52" s="375"/>
      <c r="Y52" s="375"/>
      <c r="Z52" s="375"/>
      <c r="AA52" s="375"/>
      <c r="AB52" s="375"/>
      <c r="AC52" s="375"/>
      <c r="AD52" s="375"/>
      <c r="AE52" s="375"/>
      <c r="AF52" s="375"/>
      <c r="AG52" s="375"/>
      <c r="AH52" s="375"/>
    </row>
    <row r="53" spans="1:34" x14ac:dyDescent="0.3">
      <c r="A53" s="473" t="s">
        <v>362</v>
      </c>
      <c r="B53" s="473"/>
      <c r="C53" s="473"/>
      <c r="D53" s="438" t="s">
        <v>491</v>
      </c>
      <c r="E53" s="450">
        <f t="shared" ref="E53:S53" si="43">E30</f>
        <v>0</v>
      </c>
      <c r="F53" s="450">
        <f t="shared" si="43"/>
        <v>0</v>
      </c>
      <c r="G53" s="450">
        <f t="shared" si="43"/>
        <v>312189.10047712026</v>
      </c>
      <c r="H53" s="390">
        <f t="shared" si="43"/>
        <v>619789.49208185659</v>
      </c>
      <c r="I53" s="390">
        <f t="shared" si="43"/>
        <v>973954.91612863145</v>
      </c>
      <c r="J53" s="390">
        <f t="shared" si="43"/>
        <v>1841776.6288477848</v>
      </c>
      <c r="K53" s="390">
        <f t="shared" si="43"/>
        <v>2908816.3925932487</v>
      </c>
      <c r="L53" s="390">
        <f t="shared" si="43"/>
        <v>4172418.3348969109</v>
      </c>
      <c r="M53" s="390">
        <f t="shared" si="43"/>
        <v>5436020.2772005722</v>
      </c>
      <c r="N53" s="390">
        <f t="shared" si="43"/>
        <v>7047427.3634718861</v>
      </c>
      <c r="O53" s="390">
        <f t="shared" si="43"/>
        <v>9147767.0590737797</v>
      </c>
      <c r="P53" s="390">
        <f t="shared" si="43"/>
        <v>10773912.163797641</v>
      </c>
      <c r="Q53" s="390">
        <f t="shared" si="43"/>
        <v>14361980.021025702</v>
      </c>
      <c r="R53" s="390">
        <f t="shared" si="43"/>
        <v>17396664.403180681</v>
      </c>
      <c r="S53" s="390">
        <f t="shared" si="43"/>
        <v>21730943.448958412</v>
      </c>
      <c r="T53" s="390">
        <f>SUM(E53:S53)</f>
        <v>96723659.601734236</v>
      </c>
      <c r="U53" s="375"/>
      <c r="V53" s="375"/>
      <c r="W53" s="375"/>
      <c r="X53" s="375"/>
      <c r="Y53" s="375"/>
      <c r="Z53" s="375"/>
      <c r="AA53" s="375"/>
      <c r="AB53" s="375"/>
      <c r="AC53" s="375"/>
      <c r="AD53" s="375"/>
      <c r="AE53" s="375"/>
      <c r="AF53" s="375"/>
      <c r="AG53" s="375"/>
      <c r="AH53" s="375"/>
    </row>
    <row r="54" spans="1:34" x14ac:dyDescent="0.3">
      <c r="A54" s="468"/>
      <c r="B54" s="469"/>
      <c r="C54" s="469"/>
      <c r="D54" s="470"/>
      <c r="E54" s="475"/>
      <c r="F54" s="475"/>
      <c r="G54" s="475"/>
      <c r="H54" s="398"/>
      <c r="I54" s="398"/>
      <c r="J54" s="398"/>
      <c r="K54" s="398"/>
      <c r="L54" s="398"/>
      <c r="M54" s="398"/>
      <c r="N54" s="398"/>
      <c r="O54" s="398"/>
      <c r="P54" s="398"/>
      <c r="Q54" s="398"/>
      <c r="R54" s="398"/>
      <c r="S54" s="398"/>
      <c r="T54" s="398"/>
      <c r="U54" s="375"/>
      <c r="V54" s="375"/>
      <c r="W54" s="375"/>
      <c r="X54" s="375"/>
      <c r="Y54" s="375"/>
      <c r="Z54" s="375"/>
      <c r="AA54" s="375"/>
      <c r="AB54" s="375"/>
      <c r="AC54" s="375"/>
      <c r="AD54" s="375"/>
      <c r="AE54" s="375"/>
      <c r="AF54" s="375"/>
      <c r="AG54" s="375"/>
      <c r="AH54" s="375"/>
    </row>
    <row r="55" spans="1:34" x14ac:dyDescent="0.3">
      <c r="A55" s="439" t="s">
        <v>252</v>
      </c>
      <c r="B55" s="439"/>
      <c r="C55" s="439"/>
      <c r="D55" s="438" t="s">
        <v>491</v>
      </c>
      <c r="E55" s="474">
        <f t="shared" ref="E55:S55" si="44">E53-E51</f>
        <v>-50000</v>
      </c>
      <c r="F55" s="474">
        <f t="shared" si="44"/>
        <v>-3100000</v>
      </c>
      <c r="G55" s="474">
        <f t="shared" si="44"/>
        <v>190189.10047712026</v>
      </c>
      <c r="H55" s="397">
        <f t="shared" si="44"/>
        <v>619789.49208185659</v>
      </c>
      <c r="I55" s="390">
        <f t="shared" si="44"/>
        <v>973954.91612863145</v>
      </c>
      <c r="J55" s="390">
        <f t="shared" si="44"/>
        <v>1841776.6288477848</v>
      </c>
      <c r="K55" s="390">
        <f t="shared" si="44"/>
        <v>2908816.3925932487</v>
      </c>
      <c r="L55" s="390">
        <f t="shared" si="44"/>
        <v>4172418.3348969109</v>
      </c>
      <c r="M55" s="390">
        <f t="shared" si="44"/>
        <v>5436020.2772005722</v>
      </c>
      <c r="N55" s="390">
        <f t="shared" si="44"/>
        <v>7047427.3634718861</v>
      </c>
      <c r="O55" s="390">
        <f t="shared" si="44"/>
        <v>9147767.0590737797</v>
      </c>
      <c r="P55" s="390">
        <f t="shared" si="44"/>
        <v>10773912.163797641</v>
      </c>
      <c r="Q55" s="390">
        <f t="shared" si="44"/>
        <v>14361980.021025702</v>
      </c>
      <c r="R55" s="390">
        <f t="shared" si="44"/>
        <v>17396664.403180681</v>
      </c>
      <c r="S55" s="390">
        <f t="shared" si="44"/>
        <v>21730943.448958412</v>
      </c>
      <c r="T55" s="390">
        <f>SUM(E55:S55)</f>
        <v>93451659.601734236</v>
      </c>
      <c r="U55" s="375"/>
      <c r="V55" s="375"/>
      <c r="W55" s="375"/>
      <c r="X55" s="375"/>
      <c r="Y55" s="375"/>
      <c r="Z55" s="375"/>
      <c r="AA55" s="375"/>
      <c r="AB55" s="375"/>
      <c r="AC55" s="375"/>
      <c r="AD55" s="375"/>
      <c r="AE55" s="375"/>
      <c r="AF55" s="375"/>
      <c r="AG55" s="375"/>
      <c r="AH55" s="375"/>
    </row>
    <row r="56" spans="1:34" x14ac:dyDescent="0.3">
      <c r="A56" s="469"/>
      <c r="B56" s="469"/>
      <c r="C56" s="469"/>
      <c r="D56" s="470"/>
      <c r="E56" s="476"/>
      <c r="F56" s="476"/>
      <c r="G56" s="476"/>
      <c r="H56" s="399"/>
      <c r="I56" s="398"/>
      <c r="J56" s="398"/>
      <c r="K56" s="398"/>
      <c r="L56" s="398"/>
      <c r="M56" s="398"/>
      <c r="N56" s="398"/>
      <c r="O56" s="398"/>
      <c r="P56" s="398"/>
      <c r="Q56" s="398"/>
      <c r="R56" s="398"/>
      <c r="S56" s="398"/>
      <c r="T56" s="398"/>
      <c r="U56" s="375"/>
      <c r="V56" s="375"/>
      <c r="W56" s="375"/>
      <c r="X56" s="375"/>
      <c r="Y56" s="375"/>
      <c r="Z56" s="375"/>
      <c r="AA56" s="375"/>
      <c r="AB56" s="375"/>
      <c r="AC56" s="375"/>
      <c r="AD56" s="375"/>
      <c r="AE56" s="375"/>
      <c r="AF56" s="375"/>
      <c r="AG56" s="375"/>
      <c r="AH56" s="375"/>
    </row>
    <row r="57" spans="1:34" ht="15.5" x14ac:dyDescent="0.35">
      <c r="A57" s="477" t="s">
        <v>363</v>
      </c>
      <c r="B57" s="477"/>
      <c r="C57" s="477"/>
      <c r="D57" s="438" t="s">
        <v>256</v>
      </c>
      <c r="E57" s="474">
        <f>E55</f>
        <v>-50000</v>
      </c>
      <c r="F57" s="474">
        <f t="shared" ref="F57:S57" si="45">E57+F55</f>
        <v>-3150000</v>
      </c>
      <c r="G57" s="474">
        <f t="shared" si="45"/>
        <v>-2959810.8995228796</v>
      </c>
      <c r="H57" s="397">
        <f t="shared" si="45"/>
        <v>-2340021.4074410228</v>
      </c>
      <c r="I57" s="397">
        <f t="shared" si="45"/>
        <v>-1366066.4913123914</v>
      </c>
      <c r="J57" s="397">
        <f t="shared" si="45"/>
        <v>475710.13753539347</v>
      </c>
      <c r="K57" s="397">
        <f t="shared" si="45"/>
        <v>3384526.530128642</v>
      </c>
      <c r="L57" s="397">
        <f t="shared" si="45"/>
        <v>7556944.8650255529</v>
      </c>
      <c r="M57" s="397">
        <f t="shared" si="45"/>
        <v>12992965.142226126</v>
      </c>
      <c r="N57" s="397">
        <f t="shared" si="45"/>
        <v>20040392.50569801</v>
      </c>
      <c r="O57" s="397">
        <f t="shared" si="45"/>
        <v>29188159.56477179</v>
      </c>
      <c r="P57" s="397">
        <f t="shared" si="45"/>
        <v>39962071.728569433</v>
      </c>
      <c r="Q57" s="397">
        <f t="shared" si="45"/>
        <v>54324051.749595135</v>
      </c>
      <c r="R57" s="397">
        <f t="shared" si="45"/>
        <v>71720716.152775824</v>
      </c>
      <c r="S57" s="397">
        <f t="shared" si="45"/>
        <v>93451659.601734236</v>
      </c>
      <c r="T57" s="397"/>
      <c r="U57" s="375"/>
      <c r="V57" s="375"/>
      <c r="W57" s="375"/>
      <c r="X57" s="375"/>
      <c r="Y57" s="375"/>
      <c r="Z57" s="375"/>
      <c r="AA57" s="375"/>
      <c r="AB57" s="375"/>
      <c r="AC57" s="375"/>
      <c r="AD57" s="375"/>
      <c r="AE57" s="375"/>
      <c r="AF57" s="375"/>
      <c r="AG57" s="375"/>
      <c r="AH57" s="375"/>
    </row>
    <row r="58" spans="1:34" x14ac:dyDescent="0.3">
      <c r="A58" s="469"/>
      <c r="B58" s="469"/>
      <c r="C58" s="469"/>
      <c r="D58" s="470"/>
      <c r="E58" s="469"/>
      <c r="F58" s="469"/>
      <c r="G58" s="469"/>
      <c r="U58" s="375"/>
      <c r="V58" s="375"/>
      <c r="W58" s="375"/>
      <c r="X58" s="375"/>
      <c r="Y58" s="375"/>
      <c r="Z58" s="375"/>
      <c r="AA58" s="375"/>
      <c r="AB58" s="375"/>
      <c r="AC58" s="375"/>
      <c r="AD58" s="375"/>
      <c r="AE58" s="375"/>
      <c r="AF58" s="375"/>
      <c r="AG58" s="375"/>
      <c r="AH58" s="375"/>
    </row>
    <row r="59" spans="1:34" x14ac:dyDescent="0.3">
      <c r="A59" s="469" t="s">
        <v>364</v>
      </c>
      <c r="B59" s="469"/>
      <c r="C59" s="469"/>
      <c r="D59" s="478">
        <v>0.04</v>
      </c>
      <c r="E59" s="469"/>
      <c r="F59" s="469"/>
      <c r="G59" s="469"/>
      <c r="U59" s="375"/>
      <c r="V59" s="375"/>
      <c r="W59" s="375"/>
      <c r="X59" s="375"/>
      <c r="Y59" s="375"/>
      <c r="Z59" s="375"/>
      <c r="AA59" s="375"/>
      <c r="AB59" s="375"/>
      <c r="AC59" s="375"/>
      <c r="AD59" s="375"/>
      <c r="AE59" s="375"/>
      <c r="AF59" s="375"/>
      <c r="AG59" s="375"/>
      <c r="AH59" s="375"/>
    </row>
    <row r="60" spans="1:34" ht="15.5" x14ac:dyDescent="0.35">
      <c r="A60" s="477" t="s">
        <v>365</v>
      </c>
      <c r="B60" s="477"/>
      <c r="C60" s="477"/>
      <c r="D60" s="381"/>
      <c r="E60" s="400">
        <v>1</v>
      </c>
      <c r="F60" s="400">
        <f>1+D59</f>
        <v>1.04</v>
      </c>
      <c r="G60" s="400">
        <f>$F$60*F60</f>
        <v>1.0816000000000001</v>
      </c>
      <c r="H60" s="400">
        <f>$F$60*G60</f>
        <v>1.1248640000000001</v>
      </c>
      <c r="I60" s="400">
        <f t="shared" ref="I60:S60" si="46">$F$60*H60</f>
        <v>1.1698585600000002</v>
      </c>
      <c r="J60" s="400">
        <f t="shared" si="46"/>
        <v>1.2166529024000003</v>
      </c>
      <c r="K60" s="400">
        <f t="shared" si="46"/>
        <v>1.2653190184960004</v>
      </c>
      <c r="L60" s="400">
        <f t="shared" si="46"/>
        <v>1.3159317792358405</v>
      </c>
      <c r="M60" s="400">
        <f t="shared" si="46"/>
        <v>1.3685690504052741</v>
      </c>
      <c r="N60" s="400">
        <f t="shared" si="46"/>
        <v>1.4233118124214852</v>
      </c>
      <c r="O60" s="400">
        <f t="shared" si="46"/>
        <v>1.4802442849183446</v>
      </c>
      <c r="P60" s="400">
        <f t="shared" si="46"/>
        <v>1.5394540563150785</v>
      </c>
      <c r="Q60" s="400">
        <f t="shared" si="46"/>
        <v>1.6010322185676817</v>
      </c>
      <c r="R60" s="400">
        <f t="shared" si="46"/>
        <v>1.6650735073103891</v>
      </c>
      <c r="S60" s="400">
        <f t="shared" si="46"/>
        <v>1.7316764476028046</v>
      </c>
      <c r="U60" s="375"/>
      <c r="V60" s="375"/>
      <c r="W60" s="375"/>
      <c r="X60" s="375"/>
      <c r="Y60" s="375"/>
      <c r="Z60" s="375"/>
      <c r="AA60" s="375"/>
      <c r="AB60" s="375"/>
      <c r="AC60" s="375"/>
      <c r="AD60" s="375"/>
      <c r="AE60" s="375"/>
      <c r="AF60" s="375"/>
      <c r="AG60" s="375"/>
      <c r="AH60" s="375"/>
    </row>
    <row r="61" spans="1:34" ht="15.5" x14ac:dyDescent="0.35">
      <c r="A61" s="479"/>
      <c r="B61" s="479"/>
      <c r="C61" s="479"/>
      <c r="D61" s="480"/>
      <c r="E61" s="401"/>
      <c r="F61" s="401"/>
      <c r="G61" s="401"/>
      <c r="H61" s="401"/>
      <c r="I61" s="401"/>
      <c r="J61" s="401"/>
      <c r="K61" s="401"/>
      <c r="L61" s="401"/>
      <c r="M61" s="401"/>
      <c r="N61" s="401"/>
      <c r="O61" s="401"/>
      <c r="P61" s="401"/>
      <c r="Q61" s="401"/>
      <c r="R61" s="401"/>
      <c r="S61" s="401"/>
      <c r="U61" s="375"/>
      <c r="V61" s="375"/>
      <c r="W61" s="375"/>
      <c r="X61" s="375"/>
      <c r="Y61" s="375"/>
      <c r="Z61" s="375"/>
      <c r="AA61" s="375"/>
      <c r="AB61" s="375"/>
      <c r="AC61" s="375"/>
      <c r="AD61" s="375"/>
      <c r="AE61" s="375"/>
      <c r="AF61" s="375"/>
      <c r="AG61" s="375"/>
      <c r="AH61" s="375"/>
    </row>
    <row r="62" spans="1:34" ht="15.5" x14ac:dyDescent="0.35">
      <c r="A62" s="477" t="s">
        <v>366</v>
      </c>
      <c r="B62" s="477"/>
      <c r="C62" s="477"/>
      <c r="D62" s="381"/>
      <c r="E62" s="450">
        <f t="shared" ref="E62:S62" si="47">E51/E60</f>
        <v>50000</v>
      </c>
      <c r="F62" s="450">
        <f t="shared" si="47"/>
        <v>2980769.2307692305</v>
      </c>
      <c r="G62" s="450">
        <f t="shared" si="47"/>
        <v>112795.85798816566</v>
      </c>
      <c r="H62" s="390">
        <f t="shared" si="47"/>
        <v>0</v>
      </c>
      <c r="I62" s="390">
        <f t="shared" si="47"/>
        <v>0</v>
      </c>
      <c r="J62" s="390">
        <f t="shared" si="47"/>
        <v>0</v>
      </c>
      <c r="K62" s="390">
        <f t="shared" si="47"/>
        <v>0</v>
      </c>
      <c r="L62" s="390">
        <f t="shared" si="47"/>
        <v>0</v>
      </c>
      <c r="M62" s="390">
        <f t="shared" si="47"/>
        <v>0</v>
      </c>
      <c r="N62" s="390">
        <f t="shared" si="47"/>
        <v>0</v>
      </c>
      <c r="O62" s="390">
        <f t="shared" si="47"/>
        <v>0</v>
      </c>
      <c r="P62" s="390">
        <f t="shared" si="47"/>
        <v>0</v>
      </c>
      <c r="Q62" s="390">
        <f t="shared" si="47"/>
        <v>0</v>
      </c>
      <c r="R62" s="390">
        <f t="shared" si="47"/>
        <v>0</v>
      </c>
      <c r="S62" s="390">
        <f t="shared" si="47"/>
        <v>0</v>
      </c>
      <c r="T62" s="390">
        <f>SUM(E62:S62)</f>
        <v>3143565.0887573962</v>
      </c>
      <c r="U62" s="375"/>
      <c r="V62" s="375"/>
      <c r="W62" s="375"/>
      <c r="X62" s="375"/>
      <c r="Y62" s="375"/>
      <c r="Z62" s="375"/>
      <c r="AA62" s="375"/>
      <c r="AB62" s="375"/>
      <c r="AC62" s="375"/>
      <c r="AD62" s="375"/>
      <c r="AE62" s="375"/>
      <c r="AF62" s="375"/>
      <c r="AG62" s="375"/>
      <c r="AH62" s="375"/>
    </row>
    <row r="63" spans="1:34" ht="15.5" x14ac:dyDescent="0.35">
      <c r="A63" s="479"/>
      <c r="B63" s="479"/>
      <c r="C63" s="479"/>
      <c r="D63" s="480"/>
      <c r="E63" s="401"/>
      <c r="F63" s="401"/>
      <c r="G63" s="401"/>
      <c r="H63" s="401"/>
      <c r="I63" s="401"/>
      <c r="J63" s="401"/>
      <c r="K63" s="401"/>
      <c r="L63" s="401"/>
      <c r="M63" s="401"/>
      <c r="N63" s="401"/>
      <c r="O63" s="401"/>
      <c r="P63" s="401"/>
      <c r="Q63" s="401"/>
      <c r="R63" s="401"/>
      <c r="S63" s="401"/>
      <c r="U63" s="375"/>
      <c r="V63" s="375"/>
      <c r="W63" s="375"/>
      <c r="X63" s="375"/>
      <c r="Y63" s="375"/>
      <c r="Z63" s="375"/>
      <c r="AA63" s="375"/>
      <c r="AB63" s="375"/>
      <c r="AC63" s="375"/>
      <c r="AD63" s="375"/>
      <c r="AE63" s="375"/>
      <c r="AF63" s="375"/>
      <c r="AG63" s="375"/>
      <c r="AH63" s="375"/>
    </row>
    <row r="64" spans="1:34" ht="15.5" x14ac:dyDescent="0.35">
      <c r="A64" s="477" t="s">
        <v>367</v>
      </c>
      <c r="B64" s="477"/>
      <c r="C64" s="477"/>
      <c r="D64" s="438" t="s">
        <v>491</v>
      </c>
      <c r="E64" s="450">
        <f t="shared" ref="E64:S64" si="48">E53/E60</f>
        <v>0</v>
      </c>
      <c r="F64" s="450">
        <f t="shared" si="48"/>
        <v>0</v>
      </c>
      <c r="G64" s="450">
        <f t="shared" si="48"/>
        <v>288636.37248254457</v>
      </c>
      <c r="H64" s="390">
        <f t="shared" si="48"/>
        <v>550990.60160326632</v>
      </c>
      <c r="I64" s="390">
        <f t="shared" si="48"/>
        <v>832540.74418075918</v>
      </c>
      <c r="J64" s="390">
        <f t="shared" si="48"/>
        <v>1513806.1358458519</v>
      </c>
      <c r="K64" s="390">
        <f t="shared" si="48"/>
        <v>2298879.8477484067</v>
      </c>
      <c r="L64" s="390">
        <f t="shared" si="48"/>
        <v>3170695.0168190543</v>
      </c>
      <c r="M64" s="390">
        <f t="shared" si="48"/>
        <v>3972046.7707426269</v>
      </c>
      <c r="N64" s="390">
        <f t="shared" si="48"/>
        <v>4951428.9855306363</v>
      </c>
      <c r="O64" s="390">
        <f t="shared" si="48"/>
        <v>6179903.6498751976</v>
      </c>
      <c r="P64" s="390">
        <f t="shared" si="48"/>
        <v>6998527.8999404944</v>
      </c>
      <c r="Q64" s="390">
        <f t="shared" si="48"/>
        <v>8970450.3472604956</v>
      </c>
      <c r="R64" s="390">
        <f t="shared" si="48"/>
        <v>10447985.825731922</v>
      </c>
      <c r="S64" s="390">
        <f t="shared" si="48"/>
        <v>12549078.367983237</v>
      </c>
      <c r="T64" s="390">
        <f>SUM(E64:S64)</f>
        <v>62724970.565744489</v>
      </c>
      <c r="U64" s="375"/>
      <c r="V64" s="375"/>
      <c r="W64" s="375"/>
      <c r="X64" s="375"/>
      <c r="Y64" s="375"/>
      <c r="Z64" s="375"/>
      <c r="AA64" s="375"/>
      <c r="AB64" s="375"/>
      <c r="AC64" s="375"/>
      <c r="AD64" s="375"/>
      <c r="AE64" s="375"/>
      <c r="AF64" s="375"/>
      <c r="AG64" s="375"/>
      <c r="AH64" s="375"/>
    </row>
    <row r="65" spans="1:34" x14ac:dyDescent="0.3">
      <c r="A65" s="469"/>
      <c r="B65" s="469"/>
      <c r="C65" s="469"/>
      <c r="D65" s="470"/>
      <c r="E65" s="469"/>
      <c r="F65" s="469"/>
      <c r="G65" s="469"/>
      <c r="U65" s="375"/>
      <c r="V65" s="375"/>
      <c r="W65" s="375"/>
      <c r="X65" s="375"/>
      <c r="Y65" s="375"/>
      <c r="Z65" s="375"/>
      <c r="AA65" s="375"/>
      <c r="AB65" s="375"/>
      <c r="AC65" s="375"/>
      <c r="AD65" s="375"/>
      <c r="AE65" s="375"/>
      <c r="AF65" s="375"/>
      <c r="AG65" s="375"/>
      <c r="AH65" s="375"/>
    </row>
    <row r="66" spans="1:34" ht="15.5" x14ac:dyDescent="0.35">
      <c r="A66" s="477" t="s">
        <v>368</v>
      </c>
      <c r="B66" s="477"/>
      <c r="C66" s="477"/>
      <c r="D66" s="438" t="s">
        <v>491</v>
      </c>
      <c r="E66" s="474">
        <f t="shared" ref="E66:S66" si="49">E64-E62</f>
        <v>-50000</v>
      </c>
      <c r="F66" s="474">
        <f t="shared" si="49"/>
        <v>-2980769.2307692305</v>
      </c>
      <c r="G66" s="474">
        <f t="shared" si="49"/>
        <v>175840.51449437891</v>
      </c>
      <c r="H66" s="397">
        <f t="shared" si="49"/>
        <v>550990.60160326632</v>
      </c>
      <c r="I66" s="397">
        <f t="shared" si="49"/>
        <v>832540.74418075918</v>
      </c>
      <c r="J66" s="397">
        <f t="shared" si="49"/>
        <v>1513806.1358458519</v>
      </c>
      <c r="K66" s="397">
        <f t="shared" si="49"/>
        <v>2298879.8477484067</v>
      </c>
      <c r="L66" s="397">
        <f t="shared" si="49"/>
        <v>3170695.0168190543</v>
      </c>
      <c r="M66" s="397">
        <f t="shared" si="49"/>
        <v>3972046.7707426269</v>
      </c>
      <c r="N66" s="397">
        <f t="shared" si="49"/>
        <v>4951428.9855306363</v>
      </c>
      <c r="O66" s="397">
        <f t="shared" si="49"/>
        <v>6179903.6498751976</v>
      </c>
      <c r="P66" s="397">
        <f t="shared" si="49"/>
        <v>6998527.8999404944</v>
      </c>
      <c r="Q66" s="397">
        <f t="shared" si="49"/>
        <v>8970450.3472604956</v>
      </c>
      <c r="R66" s="397">
        <f t="shared" si="49"/>
        <v>10447985.825731922</v>
      </c>
      <c r="S66" s="397">
        <f t="shared" si="49"/>
        <v>12549078.367983237</v>
      </c>
      <c r="T66" s="390">
        <f>SUM(E66:S66)</f>
        <v>59581405.476987094</v>
      </c>
      <c r="U66" s="375"/>
      <c r="V66" s="375"/>
      <c r="W66" s="375"/>
      <c r="X66" s="375"/>
      <c r="Y66" s="375"/>
      <c r="Z66" s="375"/>
      <c r="AA66" s="375"/>
      <c r="AB66" s="375"/>
      <c r="AC66" s="375"/>
      <c r="AD66" s="375"/>
      <c r="AE66" s="375"/>
      <c r="AF66" s="375"/>
      <c r="AG66" s="375"/>
      <c r="AH66" s="375"/>
    </row>
    <row r="67" spans="1:34" ht="16" thickBot="1" x14ac:dyDescent="0.4">
      <c r="A67" s="479"/>
      <c r="B67" s="479"/>
      <c r="C67" s="479"/>
      <c r="D67" s="402"/>
      <c r="E67" s="402"/>
      <c r="F67" s="402"/>
      <c r="G67" s="402"/>
      <c r="H67" s="402"/>
      <c r="I67" s="402"/>
      <c r="J67" s="402"/>
      <c r="T67" s="403" t="s">
        <v>253</v>
      </c>
      <c r="U67" s="375"/>
      <c r="V67" s="375"/>
      <c r="W67" s="375"/>
      <c r="X67" s="375"/>
      <c r="Y67" s="375"/>
      <c r="Z67" s="375"/>
      <c r="AA67" s="375"/>
      <c r="AB67" s="375"/>
      <c r="AC67" s="375"/>
      <c r="AD67" s="375"/>
      <c r="AE67" s="375"/>
      <c r="AF67" s="375"/>
      <c r="AG67" s="375"/>
      <c r="AH67" s="375"/>
    </row>
    <row r="68" spans="1:34" ht="31" x14ac:dyDescent="0.35">
      <c r="A68" s="481" t="s">
        <v>369</v>
      </c>
      <c r="B68" s="481"/>
      <c r="C68" s="481"/>
      <c r="D68" s="457" t="s">
        <v>256</v>
      </c>
      <c r="E68" s="482">
        <f>E66</f>
        <v>-50000</v>
      </c>
      <c r="F68" s="482">
        <f t="shared" ref="F68:S68" si="50">E68+F66</f>
        <v>-3030769.2307692305</v>
      </c>
      <c r="G68" s="482">
        <f t="shared" si="50"/>
        <v>-2854928.7162748515</v>
      </c>
      <c r="H68" s="404">
        <f t="shared" si="50"/>
        <v>-2303938.1146715852</v>
      </c>
      <c r="I68" s="404">
        <f t="shared" si="50"/>
        <v>-1471397.370490826</v>
      </c>
      <c r="J68" s="404">
        <f t="shared" si="50"/>
        <v>42408.765355025884</v>
      </c>
      <c r="K68" s="404">
        <f t="shared" si="50"/>
        <v>2341288.6131034326</v>
      </c>
      <c r="L68" s="404">
        <f t="shared" si="50"/>
        <v>5511983.6299224868</v>
      </c>
      <c r="M68" s="404">
        <f t="shared" si="50"/>
        <v>9484030.4006651137</v>
      </c>
      <c r="N68" s="404">
        <f t="shared" si="50"/>
        <v>14435459.386195749</v>
      </c>
      <c r="O68" s="404">
        <f t="shared" si="50"/>
        <v>20615363.036070947</v>
      </c>
      <c r="P68" s="404">
        <f t="shared" si="50"/>
        <v>27613890.936011441</v>
      </c>
      <c r="Q68" s="404">
        <f t="shared" si="50"/>
        <v>36584341.283271939</v>
      </c>
      <c r="R68" s="404">
        <f t="shared" si="50"/>
        <v>47032327.109003857</v>
      </c>
      <c r="S68" s="404">
        <f t="shared" si="50"/>
        <v>59581405.476987094</v>
      </c>
      <c r="T68" s="405">
        <f>MAX(E68:S68)</f>
        <v>59581405.476987094</v>
      </c>
      <c r="U68" s="375"/>
      <c r="V68" s="375"/>
      <c r="W68" s="375"/>
      <c r="X68" s="375"/>
      <c r="Y68" s="375"/>
      <c r="Z68" s="375"/>
      <c r="AA68" s="375"/>
      <c r="AB68" s="375"/>
      <c r="AC68" s="375"/>
      <c r="AD68" s="375"/>
      <c r="AE68" s="375"/>
      <c r="AF68" s="375"/>
      <c r="AG68" s="375"/>
      <c r="AH68" s="375"/>
    </row>
    <row r="69" spans="1:34" x14ac:dyDescent="0.3">
      <c r="A69" s="483"/>
      <c r="B69" s="483"/>
      <c r="C69" s="483"/>
      <c r="D69" s="484"/>
      <c r="E69" s="483"/>
      <c r="F69" s="483"/>
      <c r="G69" s="483"/>
      <c r="H69" s="406"/>
      <c r="I69" s="406"/>
      <c r="J69" s="406"/>
      <c r="K69" s="406"/>
      <c r="L69" s="406"/>
      <c r="M69" s="406"/>
      <c r="N69" s="406"/>
      <c r="O69" s="406"/>
      <c r="P69" s="406"/>
      <c r="Q69" s="406"/>
      <c r="R69" s="406"/>
      <c r="S69" s="406"/>
      <c r="T69" s="406"/>
      <c r="U69" s="375"/>
      <c r="V69" s="375"/>
      <c r="W69" s="375"/>
      <c r="X69" s="375"/>
      <c r="Y69" s="375"/>
      <c r="Z69" s="375"/>
      <c r="AA69" s="375"/>
      <c r="AB69" s="375"/>
      <c r="AC69" s="375"/>
      <c r="AD69" s="375"/>
      <c r="AE69" s="375"/>
      <c r="AF69" s="375"/>
      <c r="AG69" s="375"/>
      <c r="AH69" s="375"/>
    </row>
    <row r="70" spans="1:34" ht="14.5" thickBot="1" x14ac:dyDescent="0.35">
      <c r="A70" s="483"/>
      <c r="B70" s="483"/>
      <c r="C70" s="483"/>
      <c r="D70" s="484"/>
      <c r="E70" s="483"/>
      <c r="F70" s="483"/>
      <c r="G70" s="483"/>
      <c r="H70" s="406"/>
      <c r="I70" s="406"/>
      <c r="J70" s="406"/>
      <c r="K70" s="406"/>
      <c r="L70" s="406"/>
      <c r="M70" s="406"/>
      <c r="N70" s="406"/>
      <c r="O70" s="406"/>
      <c r="P70" s="406"/>
      <c r="Q70" s="406"/>
      <c r="R70" s="406"/>
      <c r="S70" s="406"/>
      <c r="T70" s="406"/>
      <c r="U70" s="375"/>
      <c r="V70" s="375"/>
      <c r="W70" s="375"/>
      <c r="X70" s="375"/>
      <c r="Y70" s="375"/>
      <c r="Z70" s="375"/>
      <c r="AA70" s="375"/>
      <c r="AB70" s="375"/>
      <c r="AC70" s="375"/>
      <c r="AD70" s="375"/>
      <c r="AE70" s="375"/>
      <c r="AF70" s="375"/>
      <c r="AG70" s="375"/>
      <c r="AH70" s="375"/>
    </row>
    <row r="71" spans="1:34" ht="16" thickBot="1" x14ac:dyDescent="0.4">
      <c r="A71" s="483"/>
      <c r="B71" s="834" t="s">
        <v>76</v>
      </c>
      <c r="C71" s="835"/>
      <c r="D71" s="842" t="s">
        <v>254</v>
      </c>
      <c r="E71" s="843"/>
      <c r="F71" s="406"/>
      <c r="G71" s="406"/>
      <c r="H71" s="406"/>
      <c r="I71" s="406"/>
      <c r="J71" s="406"/>
      <c r="K71" s="406"/>
      <c r="L71" s="406"/>
      <c r="M71" s="406"/>
      <c r="N71" s="406"/>
      <c r="O71" s="406"/>
      <c r="P71" s="406"/>
      <c r="Q71" s="406"/>
      <c r="R71" s="406"/>
      <c r="S71" s="406"/>
      <c r="U71" s="375"/>
      <c r="V71" s="375"/>
      <c r="W71" s="375"/>
      <c r="X71" s="375"/>
      <c r="Y71" s="375"/>
      <c r="Z71" s="375"/>
      <c r="AA71" s="375"/>
      <c r="AB71" s="375"/>
      <c r="AC71" s="375"/>
      <c r="AD71" s="375"/>
      <c r="AE71" s="375"/>
      <c r="AF71" s="375"/>
    </row>
    <row r="72" spans="1:34" ht="50.25" customHeight="1" thickBot="1" x14ac:dyDescent="0.4">
      <c r="A72" s="407"/>
      <c r="B72" s="836"/>
      <c r="C72" s="837"/>
      <c r="D72" s="838"/>
      <c r="E72" s="839"/>
      <c r="F72" s="840"/>
      <c r="G72" s="840"/>
      <c r="H72" s="406"/>
      <c r="I72" s="406"/>
      <c r="J72" s="406"/>
      <c r="K72" s="406"/>
      <c r="L72" s="406"/>
      <c r="M72" s="406"/>
      <c r="N72" s="406"/>
      <c r="O72" s="406"/>
      <c r="P72" s="406"/>
      <c r="Q72" s="406"/>
      <c r="R72" s="406"/>
      <c r="S72" s="406"/>
      <c r="U72" s="375"/>
      <c r="V72" s="375"/>
      <c r="W72" s="375"/>
      <c r="X72" s="375"/>
      <c r="Y72" s="375"/>
      <c r="Z72" s="375"/>
      <c r="AA72" s="375"/>
      <c r="AB72" s="375"/>
      <c r="AC72" s="375"/>
      <c r="AD72" s="375"/>
      <c r="AE72" s="375"/>
      <c r="AF72" s="375"/>
    </row>
    <row r="73" spans="1:34" ht="15.5" x14ac:dyDescent="0.35">
      <c r="A73" s="483"/>
      <c r="B73" s="844" t="s">
        <v>255</v>
      </c>
      <c r="C73" s="845"/>
      <c r="D73" s="485">
        <f>T68</f>
        <v>59581405.476987094</v>
      </c>
      <c r="E73" s="408" t="s">
        <v>256</v>
      </c>
      <c r="F73" s="409"/>
      <c r="G73" s="410">
        <f>D75/4%</f>
        <v>12.752769668377178</v>
      </c>
      <c r="H73" s="410" t="e">
        <f>#REF!/4%</f>
        <v>#REF!</v>
      </c>
      <c r="I73" s="406"/>
      <c r="J73" s="406"/>
      <c r="K73" s="406"/>
      <c r="L73" s="406"/>
      <c r="M73" s="406"/>
      <c r="N73" s="406"/>
      <c r="O73" s="406"/>
      <c r="P73" s="406"/>
      <c r="Q73" s="406"/>
      <c r="R73" s="406"/>
      <c r="S73" s="406"/>
      <c r="U73" s="375"/>
      <c r="V73" s="375"/>
      <c r="W73" s="375"/>
      <c r="X73" s="375"/>
      <c r="Y73" s="375"/>
      <c r="Z73" s="375"/>
      <c r="AA73" s="375"/>
      <c r="AB73" s="375"/>
      <c r="AC73" s="375"/>
      <c r="AD73" s="375"/>
      <c r="AE73" s="375"/>
      <c r="AF73" s="375"/>
    </row>
    <row r="74" spans="1:34" ht="15.5" x14ac:dyDescent="0.35">
      <c r="A74" s="483"/>
      <c r="B74" s="846" t="s">
        <v>257</v>
      </c>
      <c r="C74" s="847"/>
      <c r="D74" s="730">
        <f>T64/T62</f>
        <v>19.95345055525436</v>
      </c>
      <c r="E74" s="411"/>
      <c r="F74" s="409"/>
      <c r="G74" s="412"/>
      <c r="H74" s="406"/>
      <c r="I74" s="406"/>
      <c r="J74" s="406"/>
      <c r="K74" s="406"/>
      <c r="L74" s="406"/>
      <c r="M74" s="406"/>
      <c r="N74" s="406"/>
      <c r="O74" s="406"/>
      <c r="P74" s="406"/>
      <c r="Q74" s="406"/>
      <c r="R74" s="406"/>
      <c r="S74" s="406"/>
      <c r="U74" s="375"/>
      <c r="V74" s="375"/>
      <c r="W74" s="375"/>
      <c r="X74" s="375"/>
      <c r="Y74" s="375"/>
      <c r="Z74" s="375"/>
      <c r="AA74" s="375"/>
      <c r="AB74" s="375"/>
      <c r="AC74" s="375"/>
      <c r="AD74" s="375"/>
      <c r="AE74" s="375"/>
      <c r="AF74" s="375"/>
    </row>
    <row r="75" spans="1:34" ht="15.5" x14ac:dyDescent="0.35">
      <c r="A75" s="483"/>
      <c r="B75" s="846" t="s">
        <v>258</v>
      </c>
      <c r="C75" s="847"/>
      <c r="D75" s="413">
        <f>IRR(F55:S55,1050)</f>
        <v>0.51011078673508714</v>
      </c>
      <c r="E75" s="411"/>
      <c r="F75" s="409"/>
      <c r="G75" s="412"/>
      <c r="H75" s="406"/>
      <c r="I75" s="406"/>
      <c r="J75" s="406"/>
      <c r="K75" s="406"/>
      <c r="L75" s="406"/>
      <c r="M75" s="406"/>
      <c r="N75" s="406"/>
      <c r="O75" s="406"/>
      <c r="P75" s="406"/>
      <c r="Q75" s="406"/>
      <c r="R75" s="406"/>
      <c r="S75" s="406"/>
      <c r="U75" s="375"/>
      <c r="V75" s="375"/>
      <c r="W75" s="375"/>
      <c r="X75" s="375"/>
      <c r="Y75" s="375"/>
      <c r="Z75" s="375"/>
      <c r="AA75" s="375"/>
      <c r="AB75" s="375"/>
      <c r="AC75" s="375"/>
      <c r="AD75" s="375"/>
      <c r="AE75" s="375"/>
      <c r="AF75" s="375"/>
    </row>
    <row r="76" spans="1:34" ht="16" thickBot="1" x14ac:dyDescent="0.4">
      <c r="A76" s="483"/>
      <c r="B76" s="848" t="s">
        <v>259</v>
      </c>
      <c r="C76" s="849"/>
      <c r="D76" s="414">
        <f>COUNTIF(F68:S68,"&lt;0")</f>
        <v>4</v>
      </c>
      <c r="E76" s="415" t="s">
        <v>260</v>
      </c>
      <c r="F76" s="416"/>
      <c r="G76" s="412"/>
      <c r="H76" s="406"/>
      <c r="I76" s="406"/>
      <c r="J76" s="406"/>
      <c r="K76" s="406"/>
      <c r="L76" s="406"/>
      <c r="M76" s="406"/>
      <c r="N76" s="406"/>
      <c r="O76" s="406"/>
      <c r="P76" s="406"/>
      <c r="Q76" s="406"/>
      <c r="R76" s="406"/>
      <c r="S76" s="406"/>
      <c r="U76" s="375"/>
      <c r="V76" s="375"/>
      <c r="W76" s="375"/>
      <c r="X76" s="375"/>
      <c r="Y76" s="375"/>
      <c r="Z76" s="375"/>
      <c r="AA76" s="375"/>
      <c r="AB76" s="375"/>
      <c r="AC76" s="375"/>
      <c r="AD76" s="375"/>
      <c r="AE76" s="375"/>
      <c r="AF76" s="375"/>
    </row>
    <row r="77" spans="1:34" x14ac:dyDescent="0.3">
      <c r="U77" s="375"/>
      <c r="V77" s="375"/>
      <c r="W77" s="375"/>
      <c r="X77" s="375"/>
      <c r="Y77" s="375"/>
      <c r="Z77" s="375"/>
      <c r="AA77" s="375"/>
      <c r="AB77" s="375"/>
      <c r="AC77" s="375"/>
      <c r="AD77" s="375"/>
      <c r="AE77" s="375"/>
      <c r="AF77" s="375"/>
      <c r="AG77" s="375"/>
      <c r="AH77" s="375"/>
    </row>
    <row r="78" spans="1:34" x14ac:dyDescent="0.3">
      <c r="G78" s="591">
        <f>D75*100/4</f>
        <v>12.752769668377178</v>
      </c>
      <c r="U78" s="375"/>
      <c r="V78" s="375"/>
      <c r="W78" s="375"/>
      <c r="X78" s="375"/>
      <c r="Y78" s="375"/>
      <c r="Z78" s="375"/>
      <c r="AA78" s="375"/>
      <c r="AB78" s="375"/>
      <c r="AC78" s="375"/>
      <c r="AD78" s="375"/>
      <c r="AE78" s="375"/>
      <c r="AF78" s="375"/>
      <c r="AG78" s="375"/>
      <c r="AH78" s="375"/>
    </row>
    <row r="79" spans="1:34" x14ac:dyDescent="0.3">
      <c r="U79" s="375"/>
      <c r="V79" s="375"/>
      <c r="W79" s="375"/>
      <c r="X79" s="375"/>
      <c r="Y79" s="375"/>
      <c r="Z79" s="375"/>
      <c r="AA79" s="375"/>
      <c r="AB79" s="375"/>
      <c r="AC79" s="375"/>
      <c r="AD79" s="375"/>
      <c r="AE79" s="375"/>
      <c r="AF79" s="375"/>
      <c r="AG79" s="375"/>
      <c r="AH79" s="375"/>
    </row>
    <row r="80" spans="1:34" hidden="1" x14ac:dyDescent="0.3">
      <c r="A80" s="375" t="s">
        <v>261</v>
      </c>
      <c r="U80" s="375"/>
      <c r="V80" s="375"/>
      <c r="W80" s="375"/>
      <c r="X80" s="375"/>
      <c r="Y80" s="375"/>
      <c r="Z80" s="375"/>
      <c r="AA80" s="375"/>
      <c r="AB80" s="375"/>
      <c r="AC80" s="375"/>
      <c r="AD80" s="375"/>
      <c r="AE80" s="375"/>
      <c r="AF80" s="375"/>
      <c r="AG80" s="375"/>
      <c r="AH80" s="375"/>
    </row>
    <row r="81" spans="1:34" ht="14.5" hidden="1" thickBot="1" x14ac:dyDescent="0.35">
      <c r="U81" s="375"/>
      <c r="V81" s="375"/>
      <c r="W81" s="375"/>
      <c r="X81" s="375"/>
      <c r="Y81" s="375"/>
      <c r="Z81" s="850">
        <f>D72</f>
        <v>0</v>
      </c>
      <c r="AA81" s="851"/>
      <c r="AB81" s="850" t="e">
        <f>#REF!</f>
        <v>#REF!</v>
      </c>
      <c r="AC81" s="851"/>
      <c r="AD81" s="841"/>
      <c r="AE81" s="841"/>
      <c r="AF81" s="841"/>
      <c r="AG81" s="841"/>
      <c r="AH81" s="375"/>
    </row>
    <row r="82" spans="1:34" ht="33" hidden="1" customHeight="1" x14ac:dyDescent="0.3">
      <c r="U82" s="375"/>
      <c r="V82" s="375"/>
      <c r="W82" s="375"/>
      <c r="X82" s="375"/>
      <c r="Y82" s="417" t="s">
        <v>262</v>
      </c>
      <c r="Z82" s="418">
        <f>T28</f>
        <v>86855240.183976471</v>
      </c>
      <c r="AA82" s="419" t="str">
        <f>E73</f>
        <v>mln eurot</v>
      </c>
      <c r="AB82" s="418">
        <f>T30</f>
        <v>96723659.601734236</v>
      </c>
      <c r="AC82" s="419" t="str">
        <f>AA82</f>
        <v>mln eurot</v>
      </c>
      <c r="AD82" s="420"/>
      <c r="AE82" s="375"/>
      <c r="AF82" s="421"/>
      <c r="AG82" s="375"/>
      <c r="AH82" s="375"/>
    </row>
    <row r="83" spans="1:34" ht="33" hidden="1" customHeight="1" x14ac:dyDescent="0.3">
      <c r="U83" s="375"/>
      <c r="V83" s="375"/>
      <c r="W83" s="375"/>
      <c r="X83" s="375"/>
      <c r="Y83" s="422" t="s">
        <v>263</v>
      </c>
      <c r="Z83" s="423">
        <f>T19</f>
        <v>314220000</v>
      </c>
      <c r="AA83" s="424" t="str">
        <f>E73</f>
        <v>mln eurot</v>
      </c>
      <c r="AB83" s="423">
        <f>T19</f>
        <v>314220000</v>
      </c>
      <c r="AC83" s="424" t="str">
        <f>AA83</f>
        <v>mln eurot</v>
      </c>
      <c r="AD83" s="420"/>
      <c r="AE83" s="375"/>
      <c r="AF83" s="421"/>
      <c r="AG83" s="375"/>
      <c r="AH83" s="375"/>
    </row>
    <row r="84" spans="1:34" ht="33" hidden="1" customHeight="1" x14ac:dyDescent="0.3">
      <c r="D84" s="375"/>
      <c r="U84" s="375"/>
      <c r="V84" s="375"/>
      <c r="W84" s="375"/>
      <c r="X84" s="375"/>
      <c r="Y84" s="425" t="s">
        <v>264</v>
      </c>
      <c r="Z84" s="426">
        <v>12697303.870000001</v>
      </c>
      <c r="AA84" s="427" t="str">
        <f>AA83</f>
        <v>mln eurot</v>
      </c>
      <c r="AB84" s="426">
        <v>10442103.870000001</v>
      </c>
      <c r="AC84" s="424" t="str">
        <f>AC83</f>
        <v>mln eurot</v>
      </c>
      <c r="AD84" s="420"/>
      <c r="AE84" s="375"/>
      <c r="AF84" s="421"/>
      <c r="AG84" s="375"/>
      <c r="AH84" s="375"/>
    </row>
    <row r="85" spans="1:34" ht="33" hidden="1" customHeight="1" x14ac:dyDescent="0.3">
      <c r="D85" s="375"/>
      <c r="U85" s="375"/>
      <c r="V85" s="375"/>
      <c r="W85" s="375"/>
      <c r="X85" s="375"/>
      <c r="Y85" s="425" t="s">
        <v>265</v>
      </c>
      <c r="Z85" s="428">
        <f>T21</f>
        <v>688.61999999999989</v>
      </c>
      <c r="AA85" s="427" t="str">
        <f>AA86</f>
        <v>чел.</v>
      </c>
      <c r="AB85" s="428">
        <f>T37</f>
        <v>688.61999999999989</v>
      </c>
      <c r="AC85" s="427" t="str">
        <f>AC86</f>
        <v>чел.</v>
      </c>
      <c r="AD85" s="429"/>
      <c r="AE85" s="375"/>
      <c r="AF85" s="421"/>
      <c r="AG85" s="375"/>
      <c r="AH85" s="375"/>
    </row>
    <row r="86" spans="1:34" ht="33" hidden="1" customHeight="1" thickBot="1" x14ac:dyDescent="0.35">
      <c r="D86" s="375"/>
      <c r="U86" s="375"/>
      <c r="V86" s="375"/>
      <c r="W86" s="375"/>
      <c r="X86" s="375"/>
      <c r="Y86" s="430" t="s">
        <v>266</v>
      </c>
      <c r="Z86" s="431"/>
      <c r="AA86" s="432" t="s">
        <v>267</v>
      </c>
      <c r="AB86" s="431">
        <f>T38</f>
        <v>0</v>
      </c>
      <c r="AC86" s="432" t="str">
        <f>AA86</f>
        <v>чел.</v>
      </c>
      <c r="AD86" s="433"/>
      <c r="AE86" s="375"/>
      <c r="AF86" s="421"/>
      <c r="AG86" s="375"/>
      <c r="AH86" s="375"/>
    </row>
    <row r="87" spans="1:34" ht="33" hidden="1" customHeight="1" x14ac:dyDescent="0.3">
      <c r="D87" s="375"/>
      <c r="U87" s="375"/>
      <c r="V87" s="375"/>
      <c r="W87" s="375"/>
      <c r="X87" s="375"/>
      <c r="Y87" s="375"/>
      <c r="Z87" s="375"/>
      <c r="AA87" s="375"/>
      <c r="AB87" s="375"/>
      <c r="AC87" s="375"/>
      <c r="AD87" s="433"/>
      <c r="AE87" s="375"/>
      <c r="AF87" s="421"/>
      <c r="AG87" s="375"/>
      <c r="AH87" s="375"/>
    </row>
    <row r="88" spans="1:34" hidden="1" x14ac:dyDescent="0.3">
      <c r="U88" s="375"/>
      <c r="V88" s="375"/>
      <c r="W88" s="375"/>
      <c r="X88" s="375"/>
      <c r="Y88" s="375"/>
      <c r="Z88" s="375"/>
      <c r="AA88" s="375"/>
      <c r="AB88" s="375"/>
      <c r="AC88" s="375"/>
      <c r="AD88" s="375"/>
      <c r="AE88" s="375"/>
      <c r="AF88" s="375"/>
      <c r="AG88" s="375"/>
      <c r="AH88" s="375"/>
    </row>
    <row r="89" spans="1:34" hidden="1" x14ac:dyDescent="0.3">
      <c r="U89" s="375"/>
      <c r="V89" s="375"/>
      <c r="W89" s="375"/>
      <c r="X89" s="375"/>
      <c r="Y89" s="375"/>
      <c r="Z89" s="375"/>
      <c r="AA89" s="375"/>
      <c r="AB89" s="375"/>
      <c r="AC89" s="375"/>
      <c r="AD89" s="375"/>
      <c r="AE89" s="375"/>
      <c r="AF89" s="375"/>
      <c r="AG89" s="375"/>
      <c r="AH89" s="375"/>
    </row>
    <row r="90" spans="1:34" x14ac:dyDescent="0.3">
      <c r="U90" s="375"/>
      <c r="V90" s="375"/>
      <c r="W90" s="375"/>
      <c r="X90" s="375"/>
      <c r="AD90" s="375"/>
      <c r="AE90" s="375"/>
      <c r="AF90" s="375"/>
      <c r="AG90" s="375"/>
      <c r="AH90" s="375"/>
    </row>
    <row r="91" spans="1:34" x14ac:dyDescent="0.3">
      <c r="A91" s="434"/>
      <c r="G91" s="398"/>
      <c r="H91" s="398"/>
      <c r="I91" s="398"/>
      <c r="J91" s="398"/>
      <c r="K91" s="398"/>
      <c r="L91" s="398"/>
      <c r="M91" s="398"/>
      <c r="N91" s="398"/>
      <c r="O91" s="398"/>
      <c r="P91" s="398"/>
      <c r="Q91" s="398"/>
      <c r="R91" s="398"/>
      <c r="S91" s="398"/>
    </row>
    <row r="92" spans="1:34" s="375" customFormat="1" x14ac:dyDescent="0.3">
      <c r="A92" s="435"/>
      <c r="D92" s="376"/>
      <c r="H92" s="398"/>
      <c r="I92" s="398"/>
      <c r="J92" s="398"/>
      <c r="K92" s="398"/>
      <c r="L92" s="398"/>
      <c r="M92" s="398"/>
      <c r="N92" s="398"/>
      <c r="O92" s="398"/>
      <c r="P92" s="398"/>
      <c r="Q92" s="398"/>
      <c r="R92" s="398"/>
      <c r="S92" s="398"/>
      <c r="U92" s="380"/>
      <c r="V92" s="380"/>
      <c r="W92" s="380"/>
      <c r="X92" s="380"/>
      <c r="Y92" s="380"/>
      <c r="Z92" s="380"/>
      <c r="AA92" s="380"/>
      <c r="AB92" s="380"/>
      <c r="AC92" s="380"/>
      <c r="AD92" s="380"/>
      <c r="AE92" s="380"/>
      <c r="AF92" s="380"/>
      <c r="AG92" s="380"/>
      <c r="AH92" s="380"/>
    </row>
  </sheetData>
  <mergeCells count="13">
    <mergeCell ref="AD81:AG81"/>
    <mergeCell ref="D71:E71"/>
    <mergeCell ref="B73:C73"/>
    <mergeCell ref="B74:C74"/>
    <mergeCell ref="B75:C75"/>
    <mergeCell ref="B76:C76"/>
    <mergeCell ref="Z81:AA81"/>
    <mergeCell ref="AB81:AC81"/>
    <mergeCell ref="V2:Y2"/>
    <mergeCell ref="B3:C3"/>
    <mergeCell ref="B71:C72"/>
    <mergeCell ref="D72:E72"/>
    <mergeCell ref="F72:G72"/>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3"/>
  <sheetViews>
    <sheetView workbookViewId="0">
      <selection activeCell="F23" sqref="F23"/>
    </sheetView>
  </sheetViews>
  <sheetFormatPr defaultColWidth="9.1796875" defaultRowHeight="14" x14ac:dyDescent="0.3"/>
  <cols>
    <col min="1" max="1" width="47.1796875" style="563" customWidth="1"/>
    <col min="2" max="16384" width="9.1796875" style="563"/>
  </cols>
  <sheetData>
    <row r="1" spans="1:12" ht="17.5" x14ac:dyDescent="0.35">
      <c r="A1" s="562" t="s">
        <v>303</v>
      </c>
    </row>
    <row r="3" spans="1:12" x14ac:dyDescent="0.3">
      <c r="A3" s="564" t="s">
        <v>304</v>
      </c>
    </row>
    <row r="5" spans="1:12" x14ac:dyDescent="0.3">
      <c r="A5" s="565" t="s">
        <v>305</v>
      </c>
      <c r="B5" s="566">
        <f>'Sots.majanduslik moju'!G3</f>
        <v>2026</v>
      </c>
      <c r="C5" s="566">
        <f>'Sots.majanduslik moju'!H3</f>
        <v>2027</v>
      </c>
      <c r="D5" s="566">
        <f>'Sots.majanduslik moju'!I3</f>
        <v>2028</v>
      </c>
      <c r="E5" s="566">
        <f>'Sots.majanduslik moju'!J3</f>
        <v>2029</v>
      </c>
      <c r="F5" s="566">
        <f>'Sots.majanduslik moju'!K3</f>
        <v>2030</v>
      </c>
      <c r="G5" s="566">
        <f>'Sots.majanduslik moju'!L3</f>
        <v>2031</v>
      </c>
      <c r="H5" s="566">
        <f>'Sots.majanduslik moju'!M3</f>
        <v>2032</v>
      </c>
      <c r="I5" s="566">
        <f>'Sots.majanduslik moju'!N3</f>
        <v>2033</v>
      </c>
      <c r="J5" s="566">
        <f>'Sots.majanduslik moju'!O3</f>
        <v>2034</v>
      </c>
      <c r="K5" s="566">
        <f>'Sots.majanduslik moju'!P3</f>
        <v>2035</v>
      </c>
    </row>
    <row r="6" spans="1:12" ht="15.5" x14ac:dyDescent="0.3">
      <c r="A6" s="567" t="s">
        <v>544</v>
      </c>
      <c r="B6" s="566"/>
      <c r="C6" s="566"/>
      <c r="D6" s="566"/>
      <c r="E6" s="566"/>
      <c r="F6" s="566"/>
      <c r="G6" s="566"/>
      <c r="H6" s="566"/>
      <c r="I6" s="566"/>
      <c r="J6" s="566"/>
      <c r="K6" s="566"/>
    </row>
    <row r="7" spans="1:12" ht="15.5" x14ac:dyDescent="0.3">
      <c r="A7" s="568" t="s">
        <v>306</v>
      </c>
      <c r="B7" s="569">
        <v>10</v>
      </c>
      <c r="C7" s="569">
        <v>14</v>
      </c>
      <c r="D7" s="569">
        <v>14</v>
      </c>
      <c r="E7" s="569">
        <v>16</v>
      </c>
      <c r="F7" s="569">
        <v>16</v>
      </c>
      <c r="G7" s="569">
        <v>25</v>
      </c>
      <c r="H7" s="569">
        <v>25</v>
      </c>
      <c r="I7" s="569">
        <v>25</v>
      </c>
      <c r="J7" s="569">
        <v>25</v>
      </c>
      <c r="K7" s="569">
        <v>25</v>
      </c>
      <c r="L7" s="563">
        <f>SUM(B7:K7)</f>
        <v>195</v>
      </c>
    </row>
    <row r="8" spans="1:12" ht="15.5" hidden="1" x14ac:dyDescent="0.3">
      <c r="A8" s="570"/>
      <c r="B8" s="566"/>
      <c r="C8" s="566"/>
      <c r="D8" s="566"/>
      <c r="E8" s="566"/>
      <c r="F8" s="566"/>
      <c r="G8" s="566"/>
      <c r="H8" s="566"/>
      <c r="I8" s="566"/>
      <c r="J8" s="566"/>
      <c r="K8" s="566"/>
    </row>
    <row r="9" spans="1:12" ht="15.5" hidden="1" x14ac:dyDescent="0.3">
      <c r="A9" s="568"/>
      <c r="B9" s="569"/>
      <c r="C9" s="569"/>
      <c r="D9" s="569"/>
      <c r="E9" s="569"/>
      <c r="F9" s="569"/>
      <c r="G9" s="569"/>
      <c r="H9" s="569"/>
      <c r="I9" s="569"/>
      <c r="J9" s="569"/>
      <c r="K9" s="569"/>
    </row>
    <row r="10" spans="1:12" ht="15.5" x14ac:dyDescent="0.3">
      <c r="A10" s="571"/>
    </row>
    <row r="11" spans="1:12" ht="30" x14ac:dyDescent="0.3">
      <c r="A11" s="572" t="s">
        <v>307</v>
      </c>
      <c r="B11" s="573" t="s">
        <v>283</v>
      </c>
    </row>
    <row r="12" spans="1:12" ht="15.5" x14ac:dyDescent="0.3">
      <c r="A12" s="574" t="str">
        <f>A6</f>
        <v>Inkubant-ettevõtted</v>
      </c>
      <c r="B12" s="586">
        <v>0.6</v>
      </c>
    </row>
    <row r="13" spans="1:12" ht="15.5" hidden="1" x14ac:dyDescent="0.3">
      <c r="A13" s="574"/>
      <c r="B13" s="586"/>
    </row>
    <row r="14" spans="1:12" ht="15.5" x14ac:dyDescent="0.3">
      <c r="A14" s="571"/>
    </row>
    <row r="15" spans="1:12" x14ac:dyDescent="0.3">
      <c r="B15" s="852" t="s">
        <v>308</v>
      </c>
      <c r="C15" s="852"/>
      <c r="D15" s="852"/>
      <c r="E15" s="852"/>
      <c r="F15" s="852"/>
    </row>
    <row r="16" spans="1:12" x14ac:dyDescent="0.3">
      <c r="A16" s="575" t="s">
        <v>309</v>
      </c>
      <c r="B16" s="576" t="s">
        <v>310</v>
      </c>
      <c r="C16" s="576" t="s">
        <v>311</v>
      </c>
      <c r="D16" s="576" t="s">
        <v>312</v>
      </c>
      <c r="E16" s="576" t="s">
        <v>313</v>
      </c>
      <c r="F16" s="576" t="s">
        <v>314</v>
      </c>
      <c r="J16" s="563">
        <f>9.2-6.6</f>
        <v>2.5999999999999996</v>
      </c>
    </row>
    <row r="17" spans="1:10" x14ac:dyDescent="0.3">
      <c r="A17" s="577" t="s">
        <v>315</v>
      </c>
      <c r="B17" s="578"/>
      <c r="C17" s="578"/>
      <c r="D17" s="578"/>
      <c r="E17" s="578"/>
      <c r="F17" s="578"/>
    </row>
    <row r="18" spans="1:10" x14ac:dyDescent="0.3">
      <c r="A18" s="579" t="str">
        <f>A12</f>
        <v>Inkubant-ettevõtted</v>
      </c>
      <c r="B18" s="569">
        <v>2.2999999999999998</v>
      </c>
      <c r="C18" s="569">
        <v>3.68</v>
      </c>
      <c r="D18" s="569">
        <v>3.68</v>
      </c>
      <c r="E18" s="569">
        <v>4.5999999999999996</v>
      </c>
      <c r="F18" s="569">
        <v>6.9</v>
      </c>
      <c r="J18" s="563">
        <f>6.8/4</f>
        <v>1.7</v>
      </c>
    </row>
    <row r="19" spans="1:10" hidden="1" x14ac:dyDescent="0.3">
      <c r="A19" s="579"/>
      <c r="B19" s="569"/>
      <c r="C19" s="569"/>
      <c r="D19" s="569"/>
      <c r="E19" s="569"/>
      <c r="F19" s="569"/>
    </row>
    <row r="20" spans="1:10" x14ac:dyDescent="0.3">
      <c r="A20" s="580" t="s">
        <v>316</v>
      </c>
      <c r="B20" s="563">
        <v>1383</v>
      </c>
    </row>
    <row r="21" spans="1:10" x14ac:dyDescent="0.3">
      <c r="A21" s="579" t="str">
        <f>A18</f>
        <v>Inkubant-ettevõtted</v>
      </c>
      <c r="B21" s="569">
        <f>B20</f>
        <v>1383</v>
      </c>
      <c r="C21" s="581">
        <f>SUM(B21*1.8)</f>
        <v>2489.4</v>
      </c>
      <c r="D21" s="581">
        <f>SUM(C21*1.2)</f>
        <v>2987.28</v>
      </c>
      <c r="E21" s="581">
        <f>SUM(D21*1.2)</f>
        <v>3584.7360000000003</v>
      </c>
      <c r="F21" s="581">
        <f>SUM(E21*1)</f>
        <v>3584.7360000000003</v>
      </c>
    </row>
    <row r="22" spans="1:10" hidden="1" x14ac:dyDescent="0.3">
      <c r="A22" s="579"/>
      <c r="B22" s="581"/>
      <c r="C22" s="581"/>
      <c r="D22" s="581"/>
      <c r="E22" s="581"/>
      <c r="F22" s="581"/>
    </row>
    <row r="23" spans="1:10" x14ac:dyDescent="0.3">
      <c r="A23" s="563" t="s">
        <v>326</v>
      </c>
    </row>
    <row r="24" spans="1:10" x14ac:dyDescent="0.3">
      <c r="A24" s="579" t="str">
        <f>A21</f>
        <v>Inkubant-ettevõtted</v>
      </c>
      <c r="B24" s="582">
        <v>200000</v>
      </c>
      <c r="C24" s="582">
        <v>400000</v>
      </c>
      <c r="D24" s="582">
        <v>400000</v>
      </c>
      <c r="E24" s="582">
        <v>600000</v>
      </c>
      <c r="F24" s="582">
        <v>1000000</v>
      </c>
      <c r="J24" s="627"/>
    </row>
    <row r="25" spans="1:10" hidden="1" x14ac:dyDescent="0.3">
      <c r="A25" s="579"/>
      <c r="B25" s="582"/>
      <c r="C25" s="582"/>
      <c r="D25" s="582"/>
      <c r="E25" s="582"/>
      <c r="F25" s="582"/>
    </row>
    <row r="26" spans="1:10" x14ac:dyDescent="0.3">
      <c r="A26" s="563" t="s">
        <v>317</v>
      </c>
    </row>
    <row r="27" spans="1:10" x14ac:dyDescent="0.3">
      <c r="A27" s="579" t="str">
        <f>A24</f>
        <v>Inkubant-ettevõtted</v>
      </c>
      <c r="B27" s="587">
        <v>0.5</v>
      </c>
      <c r="C27" s="587">
        <v>0.9</v>
      </c>
      <c r="D27" s="587">
        <v>0.9</v>
      </c>
      <c r="E27" s="587">
        <v>0.9</v>
      </c>
      <c r="F27" s="587">
        <v>0.9</v>
      </c>
    </row>
    <row r="28" spans="1:10" hidden="1" x14ac:dyDescent="0.3">
      <c r="A28" s="579"/>
      <c r="B28" s="569"/>
      <c r="C28" s="587"/>
      <c r="D28" s="587"/>
      <c r="E28" s="587"/>
      <c r="F28" s="587"/>
    </row>
    <row r="29" spans="1:10" x14ac:dyDescent="0.3">
      <c r="A29" s="563" t="s">
        <v>318</v>
      </c>
    </row>
    <row r="30" spans="1:10" x14ac:dyDescent="0.3">
      <c r="A30" s="579" t="str">
        <f>A27</f>
        <v>Inkubant-ettevõtted</v>
      </c>
      <c r="B30" s="587">
        <f>39956/109431</f>
        <v>0.36512505597134265</v>
      </c>
      <c r="C30" s="587">
        <f>B30</f>
        <v>0.36512505597134265</v>
      </c>
      <c r="D30" s="587">
        <f t="shared" ref="D30:F30" si="0">C30</f>
        <v>0.36512505597134265</v>
      </c>
      <c r="E30" s="587">
        <f t="shared" si="0"/>
        <v>0.36512505597134265</v>
      </c>
      <c r="F30" s="587">
        <f t="shared" si="0"/>
        <v>0.36512505597134265</v>
      </c>
    </row>
    <row r="31" spans="1:10" hidden="1" x14ac:dyDescent="0.3">
      <c r="A31" s="579"/>
      <c r="B31" s="587"/>
      <c r="C31" s="587"/>
      <c r="D31" s="587"/>
      <c r="E31" s="587"/>
      <c r="F31" s="587"/>
    </row>
    <row r="32" spans="1:10" x14ac:dyDescent="0.3">
      <c r="A32" s="583"/>
    </row>
    <row r="33" spans="1:1" ht="15" customHeight="1" x14ac:dyDescent="0.3">
      <c r="A33" s="584"/>
    </row>
  </sheetData>
  <mergeCells count="1">
    <mergeCell ref="B15:F15"/>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4"/>
  <sheetViews>
    <sheetView workbookViewId="0"/>
  </sheetViews>
  <sheetFormatPr defaultColWidth="9.1796875" defaultRowHeight="14.5" x14ac:dyDescent="0.35"/>
  <cols>
    <col min="1" max="1" width="26.1796875" style="105" customWidth="1"/>
    <col min="2" max="3" width="9.1796875" style="1"/>
    <col min="4" max="16384" width="9.1796875" style="70"/>
  </cols>
  <sheetData>
    <row r="1" spans="1:16" ht="32.25" customHeight="1" x14ac:dyDescent="0.35">
      <c r="A1" s="125" t="s">
        <v>168</v>
      </c>
    </row>
    <row r="2" spans="1:16" s="250" customFormat="1" ht="21" customHeight="1" x14ac:dyDescent="0.35">
      <c r="A2" s="290"/>
      <c r="B2" s="291">
        <f>Esileht!B10</f>
        <v>2024</v>
      </c>
      <c r="C2" s="291">
        <f>B2+1</f>
        <v>2025</v>
      </c>
      <c r="D2" s="291">
        <f t="shared" ref="D2:K2" si="0">C2+1</f>
        <v>2026</v>
      </c>
      <c r="E2" s="291">
        <f t="shared" si="0"/>
        <v>2027</v>
      </c>
      <c r="F2" s="291">
        <f t="shared" si="0"/>
        <v>2028</v>
      </c>
      <c r="G2" s="291">
        <f t="shared" si="0"/>
        <v>2029</v>
      </c>
      <c r="H2" s="291">
        <f t="shared" si="0"/>
        <v>2030</v>
      </c>
      <c r="I2" s="291">
        <f t="shared" si="0"/>
        <v>2031</v>
      </c>
      <c r="J2" s="291">
        <f t="shared" si="0"/>
        <v>2032</v>
      </c>
      <c r="K2" s="291">
        <f t="shared" si="0"/>
        <v>2033</v>
      </c>
      <c r="L2" s="291">
        <f t="shared" ref="L2" si="1">K2+1</f>
        <v>2034</v>
      </c>
      <c r="M2" s="291">
        <f t="shared" ref="M2" si="2">L2+1</f>
        <v>2035</v>
      </c>
      <c r="N2" s="291">
        <f t="shared" ref="N2" si="3">M2+1</f>
        <v>2036</v>
      </c>
      <c r="O2" s="291">
        <f t="shared" ref="O2" si="4">N2+1</f>
        <v>2037</v>
      </c>
      <c r="P2" s="291">
        <f t="shared" ref="P2" si="5">O2+1</f>
        <v>2038</v>
      </c>
    </row>
    <row r="3" spans="1:16" ht="27.75" customHeight="1" x14ac:dyDescent="0.35">
      <c r="A3" s="283" t="s">
        <v>169</v>
      </c>
      <c r="B3" s="292">
        <v>0.33</v>
      </c>
      <c r="C3" s="292">
        <f>B3</f>
        <v>0.33</v>
      </c>
      <c r="D3" s="292">
        <f t="shared" ref="D3:P3" si="6">C3</f>
        <v>0.33</v>
      </c>
      <c r="E3" s="292">
        <f t="shared" si="6"/>
        <v>0.33</v>
      </c>
      <c r="F3" s="292">
        <f t="shared" si="6"/>
        <v>0.33</v>
      </c>
      <c r="G3" s="292">
        <f t="shared" si="6"/>
        <v>0.33</v>
      </c>
      <c r="H3" s="292">
        <f t="shared" si="6"/>
        <v>0.33</v>
      </c>
      <c r="I3" s="292">
        <f t="shared" si="6"/>
        <v>0.33</v>
      </c>
      <c r="J3" s="292">
        <f t="shared" si="6"/>
        <v>0.33</v>
      </c>
      <c r="K3" s="292">
        <f t="shared" si="6"/>
        <v>0.33</v>
      </c>
      <c r="L3" s="292">
        <f t="shared" si="6"/>
        <v>0.33</v>
      </c>
      <c r="M3" s="292">
        <f t="shared" si="6"/>
        <v>0.33</v>
      </c>
      <c r="N3" s="292">
        <f t="shared" si="6"/>
        <v>0.33</v>
      </c>
      <c r="O3" s="292">
        <f t="shared" si="6"/>
        <v>0.33</v>
      </c>
      <c r="P3" s="292">
        <f t="shared" si="6"/>
        <v>0.33</v>
      </c>
    </row>
    <row r="4" spans="1:16" ht="50.25" customHeight="1" x14ac:dyDescent="0.35">
      <c r="A4" s="283" t="s">
        <v>170</v>
      </c>
      <c r="B4" s="292">
        <v>8.0000000000000002E-3</v>
      </c>
      <c r="C4" s="292">
        <f>B4</f>
        <v>8.0000000000000002E-3</v>
      </c>
      <c r="D4" s="292">
        <f t="shared" ref="D4:P4" si="7">C4</f>
        <v>8.0000000000000002E-3</v>
      </c>
      <c r="E4" s="292">
        <f t="shared" si="7"/>
        <v>8.0000000000000002E-3</v>
      </c>
      <c r="F4" s="292">
        <f t="shared" si="7"/>
        <v>8.0000000000000002E-3</v>
      </c>
      <c r="G4" s="292">
        <f t="shared" si="7"/>
        <v>8.0000000000000002E-3</v>
      </c>
      <c r="H4" s="292">
        <f t="shared" si="7"/>
        <v>8.0000000000000002E-3</v>
      </c>
      <c r="I4" s="292">
        <f t="shared" si="7"/>
        <v>8.0000000000000002E-3</v>
      </c>
      <c r="J4" s="292">
        <f t="shared" si="7"/>
        <v>8.0000000000000002E-3</v>
      </c>
      <c r="K4" s="292">
        <f t="shared" si="7"/>
        <v>8.0000000000000002E-3</v>
      </c>
      <c r="L4" s="292">
        <f t="shared" si="7"/>
        <v>8.0000000000000002E-3</v>
      </c>
      <c r="M4" s="292">
        <f t="shared" si="7"/>
        <v>8.0000000000000002E-3</v>
      </c>
      <c r="N4" s="292">
        <f t="shared" si="7"/>
        <v>8.0000000000000002E-3</v>
      </c>
      <c r="O4" s="292">
        <f t="shared" si="7"/>
        <v>8.0000000000000002E-3</v>
      </c>
      <c r="P4" s="292">
        <f t="shared" si="7"/>
        <v>8.0000000000000002E-3</v>
      </c>
    </row>
    <row r="5" spans="1:16" s="250" customFormat="1" ht="24.75" customHeight="1" x14ac:dyDescent="0.35">
      <c r="A5" s="290" t="s">
        <v>171</v>
      </c>
      <c r="B5" s="293">
        <f>SUM(B3:B4)</f>
        <v>0.33800000000000002</v>
      </c>
      <c r="C5" s="293">
        <f>SUM(C3:C4)</f>
        <v>0.33800000000000002</v>
      </c>
      <c r="D5" s="293">
        <f t="shared" ref="D5:P5" si="8">SUM(D3:D4)</f>
        <v>0.33800000000000002</v>
      </c>
      <c r="E5" s="293">
        <f t="shared" si="8"/>
        <v>0.33800000000000002</v>
      </c>
      <c r="F5" s="293">
        <f t="shared" si="8"/>
        <v>0.33800000000000002</v>
      </c>
      <c r="G5" s="293">
        <f t="shared" si="8"/>
        <v>0.33800000000000002</v>
      </c>
      <c r="H5" s="293">
        <f t="shared" si="8"/>
        <v>0.33800000000000002</v>
      </c>
      <c r="I5" s="293">
        <f t="shared" si="8"/>
        <v>0.33800000000000002</v>
      </c>
      <c r="J5" s="293">
        <f t="shared" si="8"/>
        <v>0.33800000000000002</v>
      </c>
      <c r="K5" s="293">
        <f t="shared" si="8"/>
        <v>0.33800000000000002</v>
      </c>
      <c r="L5" s="293">
        <f t="shared" si="8"/>
        <v>0.33800000000000002</v>
      </c>
      <c r="M5" s="293">
        <f t="shared" si="8"/>
        <v>0.33800000000000002</v>
      </c>
      <c r="N5" s="293">
        <f t="shared" si="8"/>
        <v>0.33800000000000002</v>
      </c>
      <c r="O5" s="293">
        <f t="shared" si="8"/>
        <v>0.33800000000000002</v>
      </c>
      <c r="P5" s="293">
        <f t="shared" si="8"/>
        <v>0.33800000000000002</v>
      </c>
    </row>
    <row r="8" spans="1:16" ht="21.75" customHeight="1" x14ac:dyDescent="0.35">
      <c r="A8" s="321" t="s">
        <v>219</v>
      </c>
    </row>
    <row r="9" spans="1:16" ht="21.75" customHeight="1" x14ac:dyDescent="0.35">
      <c r="A9" s="322" t="s">
        <v>242</v>
      </c>
    </row>
    <row r="10" spans="1:16" ht="21.75" customHeight="1" x14ac:dyDescent="0.35">
      <c r="A10" s="322"/>
    </row>
    <row r="11" spans="1:16" ht="21.75" customHeight="1" x14ac:dyDescent="0.35">
      <c r="A11" s="322"/>
    </row>
    <row r="12" spans="1:16" ht="21.75" customHeight="1" x14ac:dyDescent="0.35">
      <c r="A12" s="322"/>
    </row>
    <row r="13" spans="1:16" ht="32.25" customHeight="1" x14ac:dyDescent="0.35">
      <c r="A13" s="321" t="s">
        <v>220</v>
      </c>
    </row>
    <row r="14" spans="1:16" ht="21.75" customHeight="1" x14ac:dyDescent="0.35">
      <c r="A14" s="322" t="s">
        <v>243</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workbookViewId="0"/>
  </sheetViews>
  <sheetFormatPr defaultColWidth="9.1796875" defaultRowHeight="14.5" x14ac:dyDescent="0.35"/>
  <cols>
    <col min="1" max="1" width="45.1796875" style="71" customWidth="1"/>
    <col min="2" max="2" width="22.81640625" style="1" customWidth="1"/>
    <col min="3" max="16384" width="9.1796875" style="70"/>
  </cols>
  <sheetData>
    <row r="1" spans="1:2" ht="32.25" customHeight="1" x14ac:dyDescent="0.35">
      <c r="A1" s="125" t="s">
        <v>200</v>
      </c>
    </row>
    <row r="2" spans="1:2" ht="5.25" customHeight="1" x14ac:dyDescent="0.35"/>
    <row r="3" spans="1:2" ht="36" customHeight="1" x14ac:dyDescent="0.35">
      <c r="A3" s="259" t="s">
        <v>201</v>
      </c>
      <c r="B3" s="320" t="s">
        <v>202</v>
      </c>
    </row>
    <row r="4" spans="1:2" ht="17.25" customHeight="1" x14ac:dyDescent="0.35">
      <c r="A4" s="103" t="s">
        <v>203</v>
      </c>
      <c r="B4" s="72" t="s">
        <v>204</v>
      </c>
    </row>
    <row r="5" spans="1:2" ht="17.25" customHeight="1" x14ac:dyDescent="0.35">
      <c r="A5" s="103" t="s">
        <v>205</v>
      </c>
      <c r="B5" s="72">
        <v>30</v>
      </c>
    </row>
    <row r="6" spans="1:2" ht="17.25" customHeight="1" x14ac:dyDescent="0.35">
      <c r="A6" s="103" t="s">
        <v>206</v>
      </c>
      <c r="B6" s="72">
        <v>30</v>
      </c>
    </row>
    <row r="7" spans="1:2" ht="17.25" customHeight="1" x14ac:dyDescent="0.35">
      <c r="A7" s="103" t="s">
        <v>207</v>
      </c>
      <c r="B7" s="72" t="s">
        <v>208</v>
      </c>
    </row>
    <row r="8" spans="1:2" ht="17.25" customHeight="1" x14ac:dyDescent="0.35">
      <c r="A8" s="103" t="s">
        <v>209</v>
      </c>
      <c r="B8" s="72">
        <v>25</v>
      </c>
    </row>
    <row r="9" spans="1:2" ht="17.25" customHeight="1" x14ac:dyDescent="0.35">
      <c r="A9" s="103" t="s">
        <v>210</v>
      </c>
      <c r="B9" s="72" t="s">
        <v>208</v>
      </c>
    </row>
    <row r="10" spans="1:2" ht="17.25" customHeight="1" x14ac:dyDescent="0.35">
      <c r="A10" s="103" t="s">
        <v>211</v>
      </c>
      <c r="B10" s="72" t="s">
        <v>208</v>
      </c>
    </row>
    <row r="11" spans="1:2" ht="17.25" customHeight="1" x14ac:dyDescent="0.35">
      <c r="A11" s="103" t="s">
        <v>212</v>
      </c>
      <c r="B11" s="72" t="s">
        <v>213</v>
      </c>
    </row>
    <row r="12" spans="1:2" ht="17.25" customHeight="1" x14ac:dyDescent="0.35">
      <c r="A12" s="103" t="s">
        <v>214</v>
      </c>
      <c r="B12" s="72" t="s">
        <v>204</v>
      </c>
    </row>
    <row r="13" spans="1:2" ht="17.25" customHeight="1" x14ac:dyDescent="0.35">
      <c r="A13" s="103" t="s">
        <v>215</v>
      </c>
      <c r="B13" s="72" t="s">
        <v>216</v>
      </c>
    </row>
    <row r="14" spans="1:2" ht="17.25" customHeight="1" x14ac:dyDescent="0.35">
      <c r="A14" s="103" t="s">
        <v>217</v>
      </c>
      <c r="B14" s="72" t="s">
        <v>216</v>
      </c>
    </row>
    <row r="16" spans="1:2" ht="38.25" customHeight="1" x14ac:dyDescent="0.35">
      <c r="A16" s="853" t="s">
        <v>218</v>
      </c>
      <c r="B16" s="853"/>
    </row>
  </sheetData>
  <mergeCells count="1">
    <mergeCell ref="A16:B16"/>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D6"/>
  <sheetViews>
    <sheetView workbookViewId="0">
      <selection activeCell="D7" sqref="D7"/>
    </sheetView>
  </sheetViews>
  <sheetFormatPr defaultRowHeight="14.5" x14ac:dyDescent="0.35"/>
  <cols>
    <col min="1" max="1" width="14.7265625" customWidth="1"/>
    <col min="2" max="2" width="16.26953125" customWidth="1"/>
    <col min="3" max="3" width="11.81640625" customWidth="1"/>
    <col min="4" max="4" width="12.81640625" customWidth="1"/>
  </cols>
  <sheetData>
    <row r="2" spans="1:4" x14ac:dyDescent="0.35">
      <c r="A2" s="704" t="s">
        <v>499</v>
      </c>
      <c r="C2" s="705"/>
      <c r="D2" s="705"/>
    </row>
    <row r="3" spans="1:4" x14ac:dyDescent="0.35">
      <c r="A3" s="854"/>
      <c r="B3" s="855"/>
      <c r="C3" s="858" t="s">
        <v>500</v>
      </c>
      <c r="D3" s="858"/>
    </row>
    <row r="4" spans="1:4" x14ac:dyDescent="0.35">
      <c r="A4" s="856"/>
      <c r="B4" s="857"/>
      <c r="C4" s="706">
        <v>8</v>
      </c>
      <c r="D4" s="707">
        <v>13</v>
      </c>
    </row>
    <row r="5" spans="1:4" x14ac:dyDescent="0.35">
      <c r="A5" s="859" t="s">
        <v>502</v>
      </c>
      <c r="B5" s="859"/>
      <c r="C5" s="709">
        <f>'1. Projekti elluviimise kulud'!$F$9*C6</f>
        <v>0</v>
      </c>
      <c r="D5" s="709">
        <f>'1. Projekti elluviimise kulud'!$F$9*D6</f>
        <v>36000</v>
      </c>
    </row>
    <row r="6" spans="1:4" x14ac:dyDescent="0.35">
      <c r="A6" s="860" t="s">
        <v>501</v>
      </c>
      <c r="B6" s="860"/>
      <c r="C6" s="708"/>
      <c r="D6" s="708">
        <v>0.3</v>
      </c>
    </row>
  </sheetData>
  <mergeCells count="4">
    <mergeCell ref="A3:B4"/>
    <mergeCell ref="C3:D3"/>
    <mergeCell ref="A5:B5"/>
    <mergeCell ref="A6:B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65"/>
  <sheetViews>
    <sheetView topLeftCell="A30" workbookViewId="0"/>
  </sheetViews>
  <sheetFormatPr defaultColWidth="9.1796875" defaultRowHeight="14.5" x14ac:dyDescent="0.35"/>
  <cols>
    <col min="1" max="1" width="42" style="365" customWidth="1"/>
    <col min="2" max="2" width="16.7265625" style="365" customWidth="1"/>
    <col min="3" max="3" width="17.26953125" style="365" customWidth="1"/>
    <col min="4" max="4" width="15.54296875" style="365" customWidth="1"/>
    <col min="5" max="8" width="0" style="365" hidden="1" customWidth="1"/>
    <col min="9" max="9" width="9.1796875" style="365"/>
    <col min="10" max="10" width="26" style="365" customWidth="1"/>
    <col min="11" max="11" width="13.453125" style="365" customWidth="1"/>
    <col min="12" max="12" width="9.1796875" style="365"/>
    <col min="13" max="13" width="11.1796875" style="365" customWidth="1"/>
    <col min="14" max="16384" width="9.1796875" style="365"/>
  </cols>
  <sheetData>
    <row r="1" spans="1:10" x14ac:dyDescent="0.35">
      <c r="A1" s="364" t="s">
        <v>279</v>
      </c>
    </row>
    <row r="3" spans="1:10" ht="30" customHeight="1" x14ac:dyDescent="0.35">
      <c r="A3" s="628" t="s">
        <v>447</v>
      </c>
      <c r="B3" s="628" t="s">
        <v>268</v>
      </c>
      <c r="C3" s="628" t="s">
        <v>454</v>
      </c>
      <c r="D3" s="628" t="s">
        <v>455</v>
      </c>
      <c r="E3"/>
      <c r="F3"/>
      <c r="G3"/>
      <c r="H3"/>
    </row>
    <row r="4" spans="1:10" x14ac:dyDescent="0.35">
      <c r="A4" s="600"/>
      <c r="B4" s="600"/>
      <c r="C4" s="600"/>
      <c r="D4" s="600"/>
      <c r="E4"/>
      <c r="F4"/>
      <c r="G4"/>
      <c r="H4"/>
    </row>
    <row r="5" spans="1:10" x14ac:dyDescent="0.35">
      <c r="A5" s="629" t="s">
        <v>448</v>
      </c>
      <c r="B5" s="630">
        <f>C5*4</f>
        <v>1170</v>
      </c>
      <c r="C5" s="631">
        <f>SUM(C6:C8)</f>
        <v>292.5</v>
      </c>
      <c r="D5" s="631">
        <f>SUM(D6:D8)</f>
        <v>292.5</v>
      </c>
      <c r="E5"/>
      <c r="F5"/>
      <c r="G5"/>
      <c r="H5"/>
    </row>
    <row r="6" spans="1:10" x14ac:dyDescent="0.35">
      <c r="A6" s="600" t="s">
        <v>414</v>
      </c>
      <c r="B6" s="600">
        <f>C6*4</f>
        <v>530</v>
      </c>
      <c r="C6" s="600">
        <f>51.9+80.6</f>
        <v>132.5</v>
      </c>
      <c r="D6" s="600">
        <f>51.9+80.6</f>
        <v>132.5</v>
      </c>
      <c r="E6"/>
      <c r="F6" t="s">
        <v>269</v>
      </c>
      <c r="G6"/>
      <c r="H6" t="s">
        <v>270</v>
      </c>
      <c r="J6" s="696"/>
    </row>
    <row r="7" spans="1:10" x14ac:dyDescent="0.35">
      <c r="A7" s="600" t="s">
        <v>415</v>
      </c>
      <c r="B7" s="600">
        <f t="shared" ref="B7:B8" si="0">C7*4</f>
        <v>290.8</v>
      </c>
      <c r="C7" s="600">
        <f>26.2+23+23.5</f>
        <v>72.7</v>
      </c>
      <c r="D7" s="600">
        <f>26.2+23+23.5</f>
        <v>72.7</v>
      </c>
      <c r="E7"/>
      <c r="F7" t="s">
        <v>271</v>
      </c>
      <c r="G7"/>
      <c r="H7" t="s">
        <v>272</v>
      </c>
      <c r="J7" s="696"/>
    </row>
    <row r="8" spans="1:10" x14ac:dyDescent="0.35">
      <c r="A8" s="600" t="s">
        <v>416</v>
      </c>
      <c r="B8" s="600">
        <f t="shared" si="0"/>
        <v>349.2</v>
      </c>
      <c r="C8" s="600">
        <v>87.3</v>
      </c>
      <c r="D8" s="600">
        <v>87.3</v>
      </c>
      <c r="E8"/>
      <c r="F8" t="s">
        <v>271</v>
      </c>
      <c r="G8"/>
      <c r="H8" t="s">
        <v>272</v>
      </c>
    </row>
    <row r="9" spans="1:10" x14ac:dyDescent="0.35">
      <c r="A9" s="600"/>
      <c r="B9" s="600"/>
      <c r="C9" s="600"/>
      <c r="D9" s="600"/>
      <c r="E9"/>
      <c r="F9"/>
      <c r="G9"/>
      <c r="H9"/>
    </row>
    <row r="10" spans="1:10" x14ac:dyDescent="0.35">
      <c r="A10" s="629" t="s">
        <v>449</v>
      </c>
      <c r="B10" s="629">
        <f>C10*4</f>
        <v>1200.8</v>
      </c>
      <c r="C10" s="631">
        <f>C11+C12</f>
        <v>300.2</v>
      </c>
      <c r="D10" s="631">
        <f>D11+D12</f>
        <v>300.2</v>
      </c>
      <c r="E10"/>
      <c r="F10"/>
      <c r="G10"/>
      <c r="H10"/>
    </row>
    <row r="11" spans="1:10" x14ac:dyDescent="0.35">
      <c r="A11" s="600" t="s">
        <v>429</v>
      </c>
      <c r="B11" s="600">
        <f>C11*4</f>
        <v>1093.5999999999999</v>
      </c>
      <c r="C11" s="600">
        <f>D11</f>
        <v>273.39999999999998</v>
      </c>
      <c r="D11" s="600">
        <v>273.39999999999998</v>
      </c>
      <c r="E11"/>
      <c r="F11" t="s">
        <v>269</v>
      </c>
      <c r="G11"/>
      <c r="H11" t="s">
        <v>270</v>
      </c>
    </row>
    <row r="12" spans="1:10" x14ac:dyDescent="0.35">
      <c r="A12" s="600" t="s">
        <v>273</v>
      </c>
      <c r="B12" s="600">
        <f>C12*4</f>
        <v>107.2</v>
      </c>
      <c r="C12" s="600">
        <v>26.8</v>
      </c>
      <c r="D12" s="600">
        <v>26.8</v>
      </c>
      <c r="E12"/>
      <c r="F12" t="s">
        <v>269</v>
      </c>
      <c r="G12"/>
      <c r="H12" t="s">
        <v>272</v>
      </c>
    </row>
    <row r="13" spans="1:10" x14ac:dyDescent="0.35">
      <c r="A13" s="600"/>
      <c r="B13" s="600"/>
      <c r="C13" s="600"/>
      <c r="D13" s="600"/>
      <c r="E13"/>
      <c r="F13"/>
      <c r="G13"/>
      <c r="H13"/>
    </row>
    <row r="14" spans="1:10" x14ac:dyDescent="0.35">
      <c r="A14" s="629" t="s">
        <v>543</v>
      </c>
      <c r="B14" s="629">
        <f>SUM(B15:B18)</f>
        <v>1216.8000000000002</v>
      </c>
      <c r="C14" s="629">
        <f>SUM(C15:C18)</f>
        <v>304.20000000000005</v>
      </c>
      <c r="D14" s="631">
        <v>304.2</v>
      </c>
      <c r="E14"/>
      <c r="F14"/>
      <c r="G14"/>
      <c r="H14"/>
    </row>
    <row r="15" spans="1:10" x14ac:dyDescent="0.35">
      <c r="A15" s="600" t="s">
        <v>529</v>
      </c>
      <c r="B15" s="600">
        <f>C15*4</f>
        <v>422.4</v>
      </c>
      <c r="C15" s="600">
        <v>105.6</v>
      </c>
      <c r="D15" s="600">
        <v>105.6</v>
      </c>
      <c r="E15"/>
      <c r="F15" t="s">
        <v>271</v>
      </c>
      <c r="G15"/>
      <c r="H15" t="s">
        <v>270</v>
      </c>
    </row>
    <row r="16" spans="1:10" x14ac:dyDescent="0.35">
      <c r="A16" s="600" t="s">
        <v>274</v>
      </c>
      <c r="B16" s="600">
        <f t="shared" ref="B16:B18" si="1">C16*4</f>
        <v>107.2</v>
      </c>
      <c r="C16" s="600">
        <v>26.8</v>
      </c>
      <c r="D16" s="600">
        <v>26.8</v>
      </c>
      <c r="E16"/>
      <c r="F16" t="s">
        <v>271</v>
      </c>
      <c r="G16"/>
      <c r="H16" t="s">
        <v>272</v>
      </c>
    </row>
    <row r="17" spans="1:11" x14ac:dyDescent="0.35">
      <c r="A17" s="600" t="s">
        <v>275</v>
      </c>
      <c r="B17" s="600">
        <f t="shared" si="1"/>
        <v>544.79999999999995</v>
      </c>
      <c r="C17" s="600">
        <v>136.19999999999999</v>
      </c>
      <c r="D17" s="600">
        <v>136.19999999999999</v>
      </c>
      <c r="E17"/>
      <c r="F17" t="s">
        <v>271</v>
      </c>
      <c r="G17"/>
      <c r="H17" t="s">
        <v>270</v>
      </c>
    </row>
    <row r="18" spans="1:11" x14ac:dyDescent="0.35">
      <c r="A18" s="600" t="s">
        <v>417</v>
      </c>
      <c r="B18" s="600">
        <f t="shared" si="1"/>
        <v>142.4</v>
      </c>
      <c r="C18" s="600">
        <v>35.6</v>
      </c>
      <c r="D18" s="600">
        <v>35.6</v>
      </c>
      <c r="E18"/>
      <c r="F18" t="s">
        <v>271</v>
      </c>
      <c r="G18"/>
      <c r="H18" t="s">
        <v>270</v>
      </c>
    </row>
    <row r="19" spans="1:11" x14ac:dyDescent="0.35">
      <c r="A19" s="629" t="s">
        <v>450</v>
      </c>
      <c r="B19" s="631">
        <f>SUM(B20:B22)</f>
        <v>1231.2</v>
      </c>
      <c r="C19" s="631">
        <f>SUM(C20:C22)</f>
        <v>307.8</v>
      </c>
      <c r="D19" s="631">
        <f>SUM(D20:D22)</f>
        <v>307.8</v>
      </c>
      <c r="E19"/>
      <c r="F19"/>
      <c r="G19"/>
      <c r="H19"/>
    </row>
    <row r="20" spans="1:11" x14ac:dyDescent="0.35">
      <c r="A20" s="600" t="s">
        <v>429</v>
      </c>
      <c r="B20" s="600">
        <f>C20*4</f>
        <v>1062.4000000000001</v>
      </c>
      <c r="C20" s="600">
        <v>265.60000000000002</v>
      </c>
      <c r="D20" s="600">
        <v>265.60000000000002</v>
      </c>
      <c r="E20"/>
      <c r="F20" t="s">
        <v>269</v>
      </c>
      <c r="G20"/>
      <c r="H20" t="s">
        <v>270</v>
      </c>
    </row>
    <row r="21" spans="1:11" x14ac:dyDescent="0.35">
      <c r="A21" s="600" t="s">
        <v>537</v>
      </c>
      <c r="B21" s="600">
        <f t="shared" ref="B21:B22" si="2">C21*4</f>
        <v>63.2</v>
      </c>
      <c r="C21" s="600">
        <v>15.8</v>
      </c>
      <c r="D21" s="600">
        <v>15.8</v>
      </c>
      <c r="E21"/>
      <c r="F21" t="s">
        <v>269</v>
      </c>
      <c r="G21"/>
      <c r="H21" t="s">
        <v>270</v>
      </c>
    </row>
    <row r="22" spans="1:11" x14ac:dyDescent="0.35">
      <c r="A22" s="600" t="s">
        <v>276</v>
      </c>
      <c r="B22" s="600">
        <f t="shared" si="2"/>
        <v>105.6</v>
      </c>
      <c r="C22" s="600">
        <v>26.4</v>
      </c>
      <c r="D22" s="600">
        <v>26.4</v>
      </c>
      <c r="E22"/>
      <c r="F22" t="s">
        <v>269</v>
      </c>
      <c r="G22"/>
      <c r="H22" t="s">
        <v>272</v>
      </c>
    </row>
    <row r="23" spans="1:11" x14ac:dyDescent="0.35">
      <c r="A23" s="600"/>
      <c r="B23" s="600"/>
      <c r="C23" s="600"/>
      <c r="D23" s="600"/>
      <c r="E23"/>
      <c r="F23"/>
      <c r="G23"/>
      <c r="H23"/>
    </row>
    <row r="24" spans="1:11" x14ac:dyDescent="0.35">
      <c r="A24" s="629" t="s">
        <v>451</v>
      </c>
      <c r="B24" s="631">
        <f>SUM(B25:B28)</f>
        <v>1206.8</v>
      </c>
      <c r="C24" s="631">
        <f>SUM(C25:C28)</f>
        <v>301.7</v>
      </c>
      <c r="D24" s="631">
        <f>SUM(D25:D28)</f>
        <v>301.7</v>
      </c>
      <c r="E24"/>
      <c r="F24"/>
      <c r="G24"/>
      <c r="H24"/>
    </row>
    <row r="25" spans="1:11" x14ac:dyDescent="0.35">
      <c r="A25" s="600" t="s">
        <v>504</v>
      </c>
      <c r="B25" s="600">
        <f>C25*4</f>
        <v>447.6</v>
      </c>
      <c r="C25" s="600">
        <v>111.9</v>
      </c>
      <c r="D25" s="600">
        <v>111.9</v>
      </c>
      <c r="E25"/>
      <c r="F25" t="s">
        <v>269</v>
      </c>
      <c r="G25" t="s">
        <v>271</v>
      </c>
      <c r="H25" t="s">
        <v>270</v>
      </c>
      <c r="K25" s="366"/>
    </row>
    <row r="26" spans="1:11" x14ac:dyDescent="0.35">
      <c r="A26" s="600" t="s">
        <v>418</v>
      </c>
      <c r="B26" s="600">
        <f t="shared" ref="B26:B28" si="3">C26*4</f>
        <v>548</v>
      </c>
      <c r="C26" s="600">
        <v>137</v>
      </c>
      <c r="D26" s="600">
        <v>137</v>
      </c>
      <c r="E26"/>
      <c r="F26" t="s">
        <v>271</v>
      </c>
      <c r="G26"/>
      <c r="H26" t="s">
        <v>270</v>
      </c>
    </row>
    <row r="27" spans="1:11" x14ac:dyDescent="0.35">
      <c r="A27" s="600" t="s">
        <v>429</v>
      </c>
      <c r="B27" s="600">
        <f t="shared" si="3"/>
        <v>105.6</v>
      </c>
      <c r="C27" s="600">
        <v>26.4</v>
      </c>
      <c r="D27" s="600">
        <v>26.4</v>
      </c>
      <c r="E27"/>
      <c r="F27" t="s">
        <v>269</v>
      </c>
      <c r="G27" t="s">
        <v>271</v>
      </c>
      <c r="H27" t="s">
        <v>270</v>
      </c>
    </row>
    <row r="28" spans="1:11" x14ac:dyDescent="0.35">
      <c r="A28" s="600" t="s">
        <v>276</v>
      </c>
      <c r="B28" s="600">
        <f t="shared" si="3"/>
        <v>105.6</v>
      </c>
      <c r="C28" s="600">
        <v>26.4</v>
      </c>
      <c r="D28" s="600">
        <v>26.4</v>
      </c>
      <c r="E28"/>
      <c r="F28" t="s">
        <v>271</v>
      </c>
      <c r="G28"/>
      <c r="H28" t="s">
        <v>272</v>
      </c>
    </row>
    <row r="29" spans="1:11" x14ac:dyDescent="0.35">
      <c r="A29" s="629" t="s">
        <v>452</v>
      </c>
      <c r="B29" s="629">
        <f>SUM(B30:B32)</f>
        <v>459.6</v>
      </c>
      <c r="C29" s="629">
        <f>SUM(C30:C32)</f>
        <v>114.9</v>
      </c>
      <c r="D29" s="631">
        <f>SUM(D30:D32)</f>
        <v>114.9</v>
      </c>
      <c r="E29"/>
      <c r="F29"/>
      <c r="G29"/>
      <c r="H29"/>
    </row>
    <row r="30" spans="1:11" x14ac:dyDescent="0.35">
      <c r="A30" s="600" t="s">
        <v>453</v>
      </c>
      <c r="B30" s="600">
        <f>C30*4</f>
        <v>187.6</v>
      </c>
      <c r="C30" s="600">
        <v>46.9</v>
      </c>
      <c r="D30" s="600">
        <v>46.9</v>
      </c>
      <c r="E30"/>
      <c r="F30" t="s">
        <v>271</v>
      </c>
      <c r="G30"/>
      <c r="H30" t="s">
        <v>270</v>
      </c>
    </row>
    <row r="31" spans="1:11" x14ac:dyDescent="0.35">
      <c r="A31" s="600" t="s">
        <v>412</v>
      </c>
      <c r="B31" s="600">
        <f t="shared" ref="B31:B32" si="4">C31*4</f>
        <v>200</v>
      </c>
      <c r="C31" s="600">
        <v>50</v>
      </c>
      <c r="D31" s="600">
        <v>50</v>
      </c>
      <c r="E31"/>
      <c r="F31" t="s">
        <v>271</v>
      </c>
      <c r="G31"/>
      <c r="H31" t="s">
        <v>272</v>
      </c>
    </row>
    <row r="32" spans="1:11" x14ac:dyDescent="0.35">
      <c r="A32" s="600" t="s">
        <v>276</v>
      </c>
      <c r="B32" s="600">
        <f t="shared" si="4"/>
        <v>72</v>
      </c>
      <c r="C32" s="600">
        <v>18</v>
      </c>
      <c r="D32" s="600">
        <v>18</v>
      </c>
      <c r="E32"/>
      <c r="F32" t="s">
        <v>271</v>
      </c>
      <c r="G32"/>
      <c r="H32" t="s">
        <v>272</v>
      </c>
    </row>
    <row r="33" spans="1:13" hidden="1" x14ac:dyDescent="0.35">
      <c r="A33" s="600"/>
      <c r="B33" s="600"/>
      <c r="C33" s="600"/>
      <c r="D33" s="600"/>
      <c r="E33"/>
      <c r="F33"/>
      <c r="G33"/>
      <c r="H33"/>
    </row>
    <row r="34" spans="1:13" hidden="1" x14ac:dyDescent="0.35">
      <c r="A34" s="600"/>
      <c r="B34" s="600"/>
      <c r="C34" s="600"/>
      <c r="D34" s="600"/>
      <c r="E34"/>
      <c r="F34"/>
      <c r="G34"/>
      <c r="H34"/>
    </row>
    <row r="35" spans="1:13" x14ac:dyDescent="0.35">
      <c r="A35" s="603"/>
      <c r="B35" s="603"/>
      <c r="C35" s="603"/>
      <c r="D35" s="603"/>
      <c r="E35"/>
      <c r="F35"/>
      <c r="G35"/>
      <c r="H35"/>
    </row>
    <row r="36" spans="1:13" x14ac:dyDescent="0.35">
      <c r="A36" s="699" t="s">
        <v>413</v>
      </c>
      <c r="B36" s="700">
        <f>B5+B10+B14+B19+B24+B29</f>
        <v>6485.2000000000007</v>
      </c>
      <c r="C36" s="700">
        <f>C5+C10+C14+C19+C24+C29</f>
        <v>1621.3000000000002</v>
      </c>
      <c r="D36" s="700">
        <f>D5+D10+D14+D19+D24+D29</f>
        <v>1621.3000000000002</v>
      </c>
      <c r="E36"/>
      <c r="F36"/>
      <c r="G36"/>
      <c r="H36"/>
    </row>
    <row r="37" spans="1:13" x14ac:dyDescent="0.35">
      <c r="A37" s="632" t="s">
        <v>456</v>
      </c>
      <c r="B37" s="600">
        <f>SUM(B6,B7,B11,B15,B18,B20:B21,B25,B27,B30)</f>
        <v>4345.6000000000004</v>
      </c>
      <c r="C37" s="600">
        <f>SUM(C6,C7,C11,C15,C18,C20:C21,C25,C27,C30)</f>
        <v>1086.4000000000001</v>
      </c>
      <c r="D37" s="600">
        <f>SUM(D6,D7,D11,D15,D18,D20:D21,D25,D27,D30)</f>
        <v>1086.4000000000001</v>
      </c>
      <c r="E37" s="489">
        <f>C37/C36</f>
        <v>0.6700795657805465</v>
      </c>
      <c r="F37"/>
      <c r="G37"/>
      <c r="H37"/>
    </row>
    <row r="38" spans="1:13" x14ac:dyDescent="0.35">
      <c r="A38" s="632" t="s">
        <v>457</v>
      </c>
      <c r="B38" s="600">
        <f>SUM(B8,B12,B16,B17,B22,B28,B31:B32)</f>
        <v>1591.6</v>
      </c>
      <c r="C38" s="600">
        <f>SUM(C8,C12,C16,C17,C22,C28,C31:C32)</f>
        <v>397.9</v>
      </c>
      <c r="D38" s="600">
        <f>SUM(D8,D12,D16,D17,D22,D28,D31:D32)</f>
        <v>397.9</v>
      </c>
      <c r="E38" s="489">
        <f>C38/C36</f>
        <v>0.24542034170110402</v>
      </c>
      <c r="F38"/>
      <c r="G38"/>
      <c r="H38"/>
    </row>
    <row r="39" spans="1:13" x14ac:dyDescent="0.35">
      <c r="A39" s="633" t="s">
        <v>271</v>
      </c>
      <c r="B39" s="600">
        <f>B26</f>
        <v>548</v>
      </c>
      <c r="C39" s="600">
        <f>C26</f>
        <v>137</v>
      </c>
      <c r="D39" s="600">
        <f>D26</f>
        <v>137</v>
      </c>
      <c r="E39" s="489"/>
      <c r="F39"/>
      <c r="G39"/>
      <c r="H39"/>
    </row>
    <row r="40" spans="1:13" x14ac:dyDescent="0.35">
      <c r="A40" s="603"/>
      <c r="B40" s="603"/>
      <c r="C40" s="603"/>
      <c r="D40" s="603"/>
      <c r="E40"/>
      <c r="F40"/>
      <c r="G40"/>
      <c r="H40"/>
    </row>
    <row r="41" spans="1:13" x14ac:dyDescent="0.35">
      <c r="A41" s="603" t="s">
        <v>458</v>
      </c>
      <c r="B41" s="603"/>
      <c r="C41" s="603"/>
      <c r="D41" s="603"/>
      <c r="E41"/>
      <c r="F41"/>
      <c r="G41"/>
      <c r="H41"/>
    </row>
    <row r="42" spans="1:13" x14ac:dyDescent="0.35">
      <c r="A42" s="634" t="s">
        <v>271</v>
      </c>
      <c r="B42" s="600">
        <f>SUM(B15,B17:B18,B26,B30)</f>
        <v>1845.1999999999998</v>
      </c>
      <c r="C42" s="600">
        <f>SUM(C15,C17:C18,C26,C30)</f>
        <v>461.29999999999995</v>
      </c>
      <c r="D42" s="600">
        <f>SUM(D15,D17:D18,D26,D30)</f>
        <v>461.29999999999995</v>
      </c>
      <c r="E42" s="490">
        <f>C42/C37</f>
        <v>0.4246134020618556</v>
      </c>
      <c r="F42"/>
      <c r="G42"/>
      <c r="H42"/>
      <c r="M42" s="367"/>
    </row>
    <row r="43" spans="1:13" x14ac:dyDescent="0.35">
      <c r="A43" s="634" t="s">
        <v>419</v>
      </c>
      <c r="B43" s="600">
        <f>B37-B42</f>
        <v>2500.4000000000005</v>
      </c>
      <c r="C43" s="600">
        <f>C37-C42</f>
        <v>625.10000000000014</v>
      </c>
      <c r="D43" s="600">
        <f>D37-D42</f>
        <v>625.10000000000014</v>
      </c>
      <c r="E43" s="490">
        <f>C43/C37</f>
        <v>0.5753865979381444</v>
      </c>
      <c r="F43"/>
      <c r="G43"/>
      <c r="H43"/>
      <c r="M43" s="367"/>
    </row>
    <row r="44" spans="1:13" x14ac:dyDescent="0.35">
      <c r="A44"/>
      <c r="B44"/>
      <c r="C44"/>
      <c r="D44"/>
      <c r="E44"/>
      <c r="F44"/>
      <c r="G44"/>
      <c r="H44"/>
      <c r="M44" s="367"/>
    </row>
    <row r="45" spans="1:13" hidden="1" x14ac:dyDescent="0.35">
      <c r="A45"/>
      <c r="B45"/>
      <c r="C45"/>
      <c r="D45"/>
      <c r="E45"/>
      <c r="F45"/>
      <c r="G45"/>
      <c r="H45"/>
      <c r="M45" s="367"/>
    </row>
    <row r="46" spans="1:13" x14ac:dyDescent="0.35">
      <c r="A46" s="491"/>
      <c r="B46"/>
      <c r="C46"/>
      <c r="D46"/>
      <c r="E46"/>
      <c r="F46"/>
      <c r="G46"/>
      <c r="H46"/>
    </row>
    <row r="47" spans="1:13" x14ac:dyDescent="0.35">
      <c r="A47"/>
      <c r="B47"/>
      <c r="C47"/>
      <c r="D47"/>
      <c r="E47"/>
      <c r="F47"/>
      <c r="G47"/>
      <c r="H47"/>
      <c r="J47" s="368"/>
    </row>
    <row r="48" spans="1:13" x14ac:dyDescent="0.35">
      <c r="A48" s="498"/>
      <c r="B48" s="498"/>
      <c r="C48" s="498"/>
      <c r="D48" s="498"/>
      <c r="E48"/>
      <c r="F48"/>
      <c r="G48"/>
      <c r="H48"/>
      <c r="J48" s="368"/>
    </row>
    <row r="49" spans="1:14" x14ac:dyDescent="0.35">
      <c r="A49"/>
      <c r="B49"/>
      <c r="C49"/>
      <c r="D49"/>
      <c r="E49"/>
      <c r="F49"/>
      <c r="G49"/>
      <c r="H49"/>
    </row>
    <row r="50" spans="1:14" x14ac:dyDescent="0.35">
      <c r="A50" s="693"/>
      <c r="B50" s="693"/>
      <c r="C50" s="694"/>
      <c r="D50" s="694"/>
      <c r="E50"/>
      <c r="F50"/>
      <c r="G50"/>
      <c r="H50"/>
      <c r="L50" s="367"/>
    </row>
    <row r="51" spans="1:14" x14ac:dyDescent="0.35">
      <c r="A51"/>
      <c r="B51"/>
      <c r="C51"/>
      <c r="D51"/>
      <c r="E51"/>
      <c r="F51" t="s">
        <v>269</v>
      </c>
      <c r="G51" t="s">
        <v>271</v>
      </c>
      <c r="H51"/>
    </row>
    <row r="52" spans="1:14" x14ac:dyDescent="0.35">
      <c r="A52"/>
      <c r="B52"/>
      <c r="C52"/>
      <c r="D52"/>
      <c r="E52"/>
      <c r="F52" t="s">
        <v>269</v>
      </c>
      <c r="G52" t="s">
        <v>271</v>
      </c>
      <c r="H52"/>
    </row>
    <row r="53" spans="1:14" x14ac:dyDescent="0.35">
      <c r="A53"/>
      <c r="B53"/>
      <c r="C53"/>
      <c r="D53"/>
      <c r="E53"/>
      <c r="F53" t="s">
        <v>269</v>
      </c>
      <c r="G53" t="s">
        <v>271</v>
      </c>
      <c r="H53"/>
    </row>
    <row r="54" spans="1:14" x14ac:dyDescent="0.35">
      <c r="A54"/>
      <c r="B54"/>
      <c r="C54"/>
      <c r="D54"/>
      <c r="E54"/>
      <c r="F54" t="s">
        <v>269</v>
      </c>
      <c r="G54" t="s">
        <v>271</v>
      </c>
      <c r="H54"/>
      <c r="M54" s="367"/>
      <c r="N54" s="367"/>
    </row>
    <row r="55" spans="1:14" x14ac:dyDescent="0.35">
      <c r="A55"/>
      <c r="B55"/>
      <c r="C55"/>
      <c r="D55"/>
      <c r="E55"/>
      <c r="F55" t="s">
        <v>269</v>
      </c>
      <c r="G55" t="s">
        <v>271</v>
      </c>
      <c r="H55"/>
    </row>
    <row r="56" spans="1:14" x14ac:dyDescent="0.35">
      <c r="A56"/>
      <c r="B56"/>
      <c r="C56"/>
      <c r="D56"/>
      <c r="E56"/>
      <c r="F56" t="s">
        <v>269</v>
      </c>
      <c r="G56" t="s">
        <v>271</v>
      </c>
      <c r="H56"/>
    </row>
    <row r="57" spans="1:14" x14ac:dyDescent="0.35">
      <c r="A57"/>
      <c r="B57"/>
      <c r="C57"/>
      <c r="D57"/>
      <c r="E57"/>
      <c r="F57" t="s">
        <v>269</v>
      </c>
      <c r="G57" t="s">
        <v>271</v>
      </c>
      <c r="H57"/>
    </row>
    <row r="58" spans="1:14" x14ac:dyDescent="0.35">
      <c r="A58" s="693"/>
      <c r="B58" s="693"/>
      <c r="C58" s="694"/>
      <c r="D58" s="694"/>
      <c r="E58"/>
      <c r="F58"/>
      <c r="G58"/>
      <c r="H58"/>
    </row>
    <row r="59" spans="1:14" x14ac:dyDescent="0.35">
      <c r="A59"/>
      <c r="B59"/>
      <c r="C59"/>
      <c r="D59"/>
      <c r="E59"/>
      <c r="F59" t="s">
        <v>269</v>
      </c>
      <c r="G59" t="s">
        <v>271</v>
      </c>
      <c r="H59"/>
    </row>
    <row r="60" spans="1:14" x14ac:dyDescent="0.35">
      <c r="A60"/>
      <c r="B60"/>
      <c r="C60"/>
      <c r="D60"/>
      <c r="E60"/>
      <c r="F60" t="s">
        <v>269</v>
      </c>
      <c r="G60" t="s">
        <v>271</v>
      </c>
      <c r="H60"/>
    </row>
    <row r="61" spans="1:14" x14ac:dyDescent="0.35">
      <c r="A61"/>
      <c r="B61"/>
      <c r="C61"/>
      <c r="D61"/>
      <c r="E61"/>
      <c r="F61" t="s">
        <v>269</v>
      </c>
      <c r="G61" t="s">
        <v>271</v>
      </c>
      <c r="H61"/>
    </row>
    <row r="62" spans="1:14" x14ac:dyDescent="0.35">
      <c r="A62" s="695"/>
      <c r="B62"/>
      <c r="C62"/>
      <c r="D62"/>
      <c r="E62"/>
      <c r="F62" t="s">
        <v>269</v>
      </c>
      <c r="G62" t="s">
        <v>271</v>
      </c>
      <c r="H62"/>
    </row>
    <row r="63" spans="1:14" x14ac:dyDescent="0.35">
      <c r="A63" s="695"/>
      <c r="B63"/>
      <c r="C63"/>
      <c r="D63"/>
      <c r="E63"/>
      <c r="F63"/>
      <c r="G63"/>
      <c r="H63"/>
    </row>
    <row r="64" spans="1:14" x14ac:dyDescent="0.35">
      <c r="A64" s="695"/>
      <c r="B64" s="492"/>
      <c r="C64" s="492"/>
      <c r="D64" s="492"/>
      <c r="E64"/>
      <c r="F64" t="s">
        <v>277</v>
      </c>
      <c r="G64"/>
      <c r="H64">
        <f>SUM(C51,C53,C55:C57,C59:C62)</f>
        <v>0</v>
      </c>
    </row>
    <row r="65" spans="1:8" x14ac:dyDescent="0.35">
      <c r="A65"/>
      <c r="B65"/>
      <c r="C65"/>
      <c r="D65"/>
      <c r="E65"/>
      <c r="F65" t="s">
        <v>278</v>
      </c>
      <c r="G65"/>
      <c r="H65">
        <v>0</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0"/>
  <sheetViews>
    <sheetView workbookViewId="0">
      <selection activeCell="C5" sqref="C5"/>
    </sheetView>
  </sheetViews>
  <sheetFormatPr defaultColWidth="9.1796875" defaultRowHeight="14.5" x14ac:dyDescent="0.35"/>
  <cols>
    <col min="1" max="1" width="25.1796875" style="711" customWidth="1"/>
    <col min="2" max="2" width="15.1796875" style="711" customWidth="1"/>
    <col min="3" max="3" width="14.7265625" style="711" customWidth="1"/>
    <col min="4" max="4" width="13.1796875" style="711" customWidth="1"/>
    <col min="5" max="5" width="13.26953125" style="711" customWidth="1"/>
    <col min="6" max="6" width="8.81640625" style="711" customWidth="1"/>
    <col min="7" max="7" width="12.453125" style="711" customWidth="1"/>
    <col min="8" max="8" width="14.26953125" style="711" customWidth="1"/>
    <col min="9" max="9" width="13.26953125" style="711" customWidth="1"/>
    <col min="10" max="10" width="17" style="711" customWidth="1"/>
    <col min="11" max="16384" width="9.1796875" style="711"/>
  </cols>
  <sheetData>
    <row r="1" spans="1:8" x14ac:dyDescent="0.35">
      <c r="A1" s="635" t="s">
        <v>420</v>
      </c>
      <c r="B1" s="635"/>
      <c r="C1" s="603"/>
      <c r="D1" s="603"/>
      <c r="E1" s="636"/>
      <c r="F1" s="601"/>
      <c r="G1" s="601"/>
      <c r="H1" s="603"/>
    </row>
    <row r="2" spans="1:8" x14ac:dyDescent="0.35">
      <c r="A2" s="603"/>
      <c r="B2" s="603"/>
      <c r="C2" s="603"/>
      <c r="D2" s="603"/>
      <c r="E2" s="602"/>
      <c r="F2" s="603"/>
      <c r="G2" s="603"/>
      <c r="H2" s="603"/>
    </row>
    <row r="3" spans="1:8" x14ac:dyDescent="0.35">
      <c r="A3" s="635" t="s">
        <v>421</v>
      </c>
      <c r="B3" s="635"/>
      <c r="C3" s="603"/>
      <c r="D3" s="601"/>
      <c r="E3" s="602"/>
      <c r="F3" s="603"/>
      <c r="G3" s="603"/>
      <c r="H3" s="603"/>
    </row>
    <row r="4" spans="1:8" x14ac:dyDescent="0.35">
      <c r="A4" s="637" t="s">
        <v>545</v>
      </c>
      <c r="B4" s="600" t="s">
        <v>546</v>
      </c>
      <c r="C4" s="600">
        <v>62.78</v>
      </c>
      <c r="D4" s="601"/>
      <c r="E4" s="602"/>
      <c r="F4" s="603"/>
      <c r="G4" s="603"/>
      <c r="H4" s="603"/>
    </row>
    <row r="5" spans="1:8" x14ac:dyDescent="0.35">
      <c r="A5" s="637" t="s">
        <v>422</v>
      </c>
      <c r="B5" s="600" t="s">
        <v>427</v>
      </c>
      <c r="C5" s="488">
        <f>0.115+0.115*0.3</f>
        <v>0.14950000000000002</v>
      </c>
      <c r="D5" s="604"/>
      <c r="E5" s="602"/>
      <c r="F5" s="603"/>
      <c r="G5" s="605"/>
      <c r="H5" s="603"/>
    </row>
    <row r="6" spans="1:8" x14ac:dyDescent="0.35">
      <c r="A6" s="637" t="s">
        <v>423</v>
      </c>
      <c r="B6" s="600" t="s">
        <v>426</v>
      </c>
      <c r="C6" s="600">
        <v>1.7529999999999999</v>
      </c>
      <c r="D6" s="601"/>
      <c r="E6" s="602"/>
      <c r="F6" s="603"/>
      <c r="G6" s="603"/>
      <c r="H6" s="603"/>
    </row>
    <row r="7" spans="1:8" x14ac:dyDescent="0.35">
      <c r="A7" s="637" t="s">
        <v>424</v>
      </c>
      <c r="B7" s="600" t="s">
        <v>426</v>
      </c>
      <c r="C7" s="600">
        <v>5</v>
      </c>
      <c r="D7" s="601"/>
      <c r="E7" s="602"/>
      <c r="F7" s="603"/>
      <c r="G7" s="603"/>
      <c r="H7" s="603"/>
    </row>
    <row r="8" spans="1:8" x14ac:dyDescent="0.35">
      <c r="A8" s="637" t="s">
        <v>425</v>
      </c>
      <c r="B8" s="600" t="s">
        <v>426</v>
      </c>
      <c r="C8" s="600">
        <v>1.39</v>
      </c>
      <c r="D8" s="601"/>
      <c r="E8" s="602"/>
      <c r="F8" s="603"/>
      <c r="G8" s="603"/>
      <c r="H8" s="603"/>
    </row>
    <row r="9" spans="1:8" x14ac:dyDescent="0.35">
      <c r="A9" s="603"/>
      <c r="B9" s="603"/>
      <c r="C9" s="603"/>
      <c r="D9" s="603"/>
      <c r="E9" s="602"/>
      <c r="F9" s="603"/>
      <c r="G9" s="603"/>
      <c r="H9" s="603"/>
    </row>
    <row r="10" spans="1:8" x14ac:dyDescent="0.35">
      <c r="A10" s="635" t="s">
        <v>428</v>
      </c>
      <c r="B10" s="635"/>
      <c r="C10" s="603"/>
      <c r="D10" s="603"/>
      <c r="E10" s="602"/>
      <c r="F10" s="603"/>
      <c r="G10" s="603"/>
      <c r="H10" s="603"/>
    </row>
    <row r="11" spans="1:8" ht="29" x14ac:dyDescent="0.35">
      <c r="A11" s="637"/>
      <c r="B11" s="638" t="s">
        <v>2</v>
      </c>
      <c r="C11" s="606" t="s">
        <v>429</v>
      </c>
      <c r="D11" s="607" t="s">
        <v>430</v>
      </c>
      <c r="E11" s="602"/>
      <c r="F11" s="603"/>
      <c r="G11" s="603"/>
      <c r="H11" s="603"/>
    </row>
    <row r="12" spans="1:8" x14ac:dyDescent="0.35">
      <c r="A12" s="637" t="s">
        <v>545</v>
      </c>
      <c r="B12" s="639"/>
      <c r="C12" s="606"/>
      <c r="D12" s="607"/>
      <c r="E12" s="602"/>
      <c r="F12" s="603"/>
      <c r="G12" s="603"/>
      <c r="H12" s="603"/>
    </row>
    <row r="13" spans="1:8" hidden="1" x14ac:dyDescent="0.35">
      <c r="A13" s="634"/>
      <c r="B13" s="640"/>
      <c r="C13" s="608"/>
      <c r="D13" s="608"/>
      <c r="E13" s="602"/>
      <c r="F13" s="603"/>
      <c r="G13" s="609"/>
      <c r="H13" s="603"/>
    </row>
    <row r="14" spans="1:8" x14ac:dyDescent="0.35">
      <c r="A14" s="634" t="s">
        <v>279</v>
      </c>
      <c r="B14" s="640" t="s">
        <v>547</v>
      </c>
      <c r="C14" s="610">
        <v>11.6</v>
      </c>
      <c r="D14" s="610">
        <f>C14</f>
        <v>11.6</v>
      </c>
      <c r="E14" s="602"/>
      <c r="F14" s="603"/>
      <c r="G14" s="603"/>
      <c r="H14" s="603"/>
    </row>
    <row r="15" spans="1:8" x14ac:dyDescent="0.35">
      <c r="A15" s="637" t="s">
        <v>422</v>
      </c>
      <c r="B15" s="607"/>
      <c r="C15" s="600"/>
      <c r="D15" s="603"/>
      <c r="E15" s="602"/>
      <c r="F15" s="603"/>
      <c r="G15" s="603"/>
      <c r="H15" s="603"/>
    </row>
    <row r="16" spans="1:8" ht="14.25" hidden="1" customHeight="1" x14ac:dyDescent="0.35">
      <c r="A16" s="641"/>
      <c r="B16" s="640"/>
      <c r="C16" s="610"/>
      <c r="D16" s="603"/>
      <c r="E16" s="602"/>
      <c r="F16" s="603"/>
      <c r="G16" s="603"/>
      <c r="H16" s="603"/>
    </row>
    <row r="17" spans="1:8" ht="14.25" customHeight="1" x14ac:dyDescent="0.35">
      <c r="A17" s="641" t="s">
        <v>279</v>
      </c>
      <c r="B17" s="640" t="s">
        <v>432</v>
      </c>
      <c r="C17" s="610">
        <v>4</v>
      </c>
      <c r="D17" s="611"/>
      <c r="E17" s="602"/>
      <c r="F17" s="603"/>
      <c r="G17" s="603"/>
      <c r="H17" s="603"/>
    </row>
    <row r="18" spans="1:8" ht="14.25" customHeight="1" x14ac:dyDescent="0.35">
      <c r="A18" s="637" t="s">
        <v>398</v>
      </c>
      <c r="B18" s="607" t="s">
        <v>433</v>
      </c>
      <c r="C18" s="600">
        <f>50*21/1000</f>
        <v>1.05</v>
      </c>
      <c r="D18" s="603"/>
      <c r="E18" s="602"/>
      <c r="F18" s="603"/>
      <c r="G18" s="603"/>
      <c r="H18" s="603"/>
    </row>
    <row r="19" spans="1:8" ht="14.25" customHeight="1" x14ac:dyDescent="0.35">
      <c r="A19" s="634" t="s">
        <v>399</v>
      </c>
      <c r="B19" s="607" t="s">
        <v>433</v>
      </c>
      <c r="C19" s="600">
        <f>C18*0.6</f>
        <v>0.63</v>
      </c>
      <c r="D19" s="603"/>
      <c r="E19" s="602"/>
      <c r="F19" s="603"/>
      <c r="G19" s="603"/>
      <c r="H19" s="603"/>
    </row>
    <row r="20" spans="1:8" ht="14.25" customHeight="1" x14ac:dyDescent="0.35">
      <c r="A20" s="634" t="s">
        <v>400</v>
      </c>
      <c r="B20" s="607" t="s">
        <v>433</v>
      </c>
      <c r="C20" s="600">
        <f>C18*0.4</f>
        <v>0.42000000000000004</v>
      </c>
      <c r="D20" s="603"/>
      <c r="E20" s="602"/>
      <c r="F20" s="603"/>
      <c r="G20" s="612"/>
      <c r="H20" s="603"/>
    </row>
    <row r="21" spans="1:8" x14ac:dyDescent="0.35">
      <c r="A21" s="603"/>
      <c r="B21" s="603"/>
      <c r="C21" s="603"/>
      <c r="D21" s="603"/>
      <c r="E21" s="602"/>
      <c r="F21" s="603"/>
      <c r="G21" s="603"/>
      <c r="H21" s="603"/>
    </row>
    <row r="22" spans="1:8" ht="18.75" customHeight="1" x14ac:dyDescent="0.35">
      <c r="A22" s="635" t="s">
        <v>434</v>
      </c>
      <c r="B22" s="642"/>
      <c r="C22" s="613"/>
      <c r="D22" s="613"/>
      <c r="E22" s="614"/>
      <c r="F22" s="603"/>
      <c r="G22" s="603"/>
      <c r="H22" s="603"/>
    </row>
    <row r="23" spans="1:8" ht="18.75" customHeight="1" x14ac:dyDescent="0.35">
      <c r="A23" s="643" t="s">
        <v>281</v>
      </c>
      <c r="B23" s="861" t="s">
        <v>2</v>
      </c>
      <c r="C23" s="861" t="s">
        <v>342</v>
      </c>
      <c r="D23" s="861" t="s">
        <v>429</v>
      </c>
      <c r="E23" s="866" t="s">
        <v>435</v>
      </c>
      <c r="F23" s="861" t="s">
        <v>271</v>
      </c>
      <c r="G23" s="861" t="s">
        <v>275</v>
      </c>
      <c r="H23" s="603"/>
    </row>
    <row r="24" spans="1:8" x14ac:dyDescent="0.35">
      <c r="A24" s="644"/>
      <c r="B24" s="862"/>
      <c r="C24" s="862"/>
      <c r="D24" s="862"/>
      <c r="E24" s="867"/>
      <c r="F24" s="862"/>
      <c r="G24" s="862"/>
      <c r="H24" s="603"/>
    </row>
    <row r="25" spans="1:8" hidden="1" x14ac:dyDescent="0.35">
      <c r="A25" s="600" t="s">
        <v>431</v>
      </c>
      <c r="B25" s="645" t="s">
        <v>280</v>
      </c>
      <c r="C25" s="615"/>
      <c r="D25" s="615"/>
      <c r="E25" s="615"/>
      <c r="F25" s="600"/>
      <c r="G25" s="615"/>
      <c r="H25" s="603"/>
    </row>
    <row r="26" spans="1:8" hidden="1" x14ac:dyDescent="0.35">
      <c r="A26" s="600"/>
      <c r="B26" s="645"/>
      <c r="C26" s="616"/>
      <c r="D26" s="616"/>
      <c r="E26" s="616"/>
      <c r="F26" s="600"/>
      <c r="G26" s="616"/>
      <c r="H26" s="603"/>
    </row>
    <row r="27" spans="1:8" x14ac:dyDescent="0.35">
      <c r="A27" s="600" t="s">
        <v>279</v>
      </c>
      <c r="B27" s="645" t="s">
        <v>280</v>
      </c>
      <c r="C27" s="617">
        <f>Ruumid!C36</f>
        <v>1621.3000000000002</v>
      </c>
      <c r="D27" s="617">
        <f>Tulud25!N33</f>
        <v>757.17499999999995</v>
      </c>
      <c r="E27" s="617">
        <f>Tulud25!O33</f>
        <v>282.32499999999999</v>
      </c>
      <c r="F27" s="600">
        <f>Ruumid!C26</f>
        <v>137</v>
      </c>
      <c r="G27" s="615">
        <f>Ruumid!C38</f>
        <v>397.9</v>
      </c>
      <c r="H27" s="603"/>
    </row>
    <row r="28" spans="1:8" x14ac:dyDescent="0.35">
      <c r="A28" s="600"/>
      <c r="B28" s="645"/>
      <c r="C28" s="616">
        <f>C27/$C$27</f>
        <v>1</v>
      </c>
      <c r="D28" s="616">
        <f>D27/$C$27</f>
        <v>0.46701720841300182</v>
      </c>
      <c r="E28" s="616">
        <f>E27/$C$27</f>
        <v>0.17413495343243074</v>
      </c>
      <c r="F28" s="616">
        <f>F27/$C$27</f>
        <v>8.4500092518349459E-2</v>
      </c>
      <c r="G28" s="616">
        <f>G27/$C$27</f>
        <v>0.24542034170110402</v>
      </c>
      <c r="H28" s="603"/>
    </row>
    <row r="29" spans="1:8" x14ac:dyDescent="0.35">
      <c r="A29" s="603"/>
      <c r="B29" s="646"/>
      <c r="C29" s="647"/>
      <c r="D29" s="647"/>
      <c r="E29" s="647"/>
      <c r="F29" s="647"/>
      <c r="G29" s="647"/>
      <c r="H29" s="603"/>
    </row>
    <row r="30" spans="1:8" x14ac:dyDescent="0.35">
      <c r="A30" s="635" t="s">
        <v>459</v>
      </c>
      <c r="B30" s="646"/>
      <c r="C30" s="647"/>
      <c r="D30" s="647"/>
      <c r="E30" s="647"/>
      <c r="F30" s="647"/>
      <c r="G30" s="647"/>
      <c r="H30" s="603"/>
    </row>
    <row r="31" spans="1:8" ht="15" customHeight="1" x14ac:dyDescent="0.35">
      <c r="A31" s="643" t="s">
        <v>281</v>
      </c>
      <c r="B31" s="863" t="s">
        <v>2</v>
      </c>
      <c r="C31" s="865" t="s">
        <v>460</v>
      </c>
      <c r="D31" s="865"/>
      <c r="E31" s="865"/>
      <c r="F31" s="603"/>
      <c r="G31" s="603"/>
      <c r="H31" s="603"/>
    </row>
    <row r="32" spans="1:8" ht="43.5" x14ac:dyDescent="0.35">
      <c r="A32" s="644"/>
      <c r="B32" s="864"/>
      <c r="C32" s="648" t="s">
        <v>461</v>
      </c>
      <c r="D32" s="649" t="s">
        <v>462</v>
      </c>
      <c r="E32" s="648" t="s">
        <v>342</v>
      </c>
      <c r="F32" s="603"/>
      <c r="G32" s="603"/>
      <c r="H32" s="603"/>
    </row>
    <row r="33" spans="1:8" hidden="1" x14ac:dyDescent="0.35">
      <c r="A33" s="600" t="s">
        <v>431</v>
      </c>
      <c r="B33" s="650" t="s">
        <v>280</v>
      </c>
      <c r="C33" s="615"/>
      <c r="D33" s="615"/>
      <c r="E33" s="615"/>
      <c r="F33" s="603"/>
      <c r="G33" s="603"/>
      <c r="H33" s="603"/>
    </row>
    <row r="34" spans="1:8" hidden="1" x14ac:dyDescent="0.35">
      <c r="A34" s="600"/>
      <c r="B34" s="650"/>
      <c r="C34" s="616"/>
      <c r="D34" s="616"/>
      <c r="E34" s="616"/>
      <c r="F34" s="603"/>
      <c r="G34" s="603"/>
      <c r="H34" s="603"/>
    </row>
    <row r="35" spans="1:8" x14ac:dyDescent="0.35">
      <c r="A35" s="600" t="s">
        <v>279</v>
      </c>
      <c r="B35" s="650" t="s">
        <v>280</v>
      </c>
      <c r="C35" s="617">
        <f>Tulud25!N33</f>
        <v>757.17499999999995</v>
      </c>
      <c r="D35" s="617">
        <f>Tulud25!O33+Ruumid!C26</f>
        <v>419.32499999999999</v>
      </c>
      <c r="E35" s="615">
        <f>SUM(C35:D35)</f>
        <v>1176.5</v>
      </c>
      <c r="F35" s="603"/>
      <c r="G35" s="603"/>
      <c r="H35" s="603"/>
    </row>
    <row r="36" spans="1:8" x14ac:dyDescent="0.35">
      <c r="A36" s="600"/>
      <c r="B36" s="650"/>
      <c r="C36" s="616">
        <f>C35/E35</f>
        <v>0.64358266043348911</v>
      </c>
      <c r="D36" s="616">
        <f>D35/E35</f>
        <v>0.35641733956651084</v>
      </c>
      <c r="E36" s="616">
        <f>E35/E35</f>
        <v>1</v>
      </c>
      <c r="F36" s="603"/>
      <c r="G36" s="603"/>
      <c r="H36" s="603"/>
    </row>
    <row r="37" spans="1:8" x14ac:dyDescent="0.35">
      <c r="A37" s="600" t="s">
        <v>342</v>
      </c>
      <c r="B37" s="651" t="s">
        <v>280</v>
      </c>
      <c r="C37" s="652">
        <f>C33+C35</f>
        <v>757.17499999999995</v>
      </c>
      <c r="D37" s="652">
        <f>D33+D35</f>
        <v>419.32499999999999</v>
      </c>
      <c r="E37" s="652">
        <f>E33+E35</f>
        <v>1176.5</v>
      </c>
      <c r="F37" s="603"/>
      <c r="G37" s="603"/>
      <c r="H37" s="603"/>
    </row>
    <row r="38" spans="1:8" x14ac:dyDescent="0.35">
      <c r="A38" s="600"/>
      <c r="B38" s="650"/>
      <c r="C38" s="616">
        <f>C37/E37</f>
        <v>0.64358266043348911</v>
      </c>
      <c r="D38" s="616">
        <f>D37/E37</f>
        <v>0.35641733956651084</v>
      </c>
      <c r="E38" s="616">
        <f>E37/E37</f>
        <v>1</v>
      </c>
      <c r="F38" s="603"/>
      <c r="G38" s="603"/>
      <c r="H38" s="603"/>
    </row>
    <row r="39" spans="1:8" x14ac:dyDescent="0.35">
      <c r="A39" s="603"/>
      <c r="B39" s="603"/>
      <c r="C39" s="603"/>
      <c r="D39" s="603"/>
      <c r="E39" s="602"/>
      <c r="F39" s="603"/>
      <c r="G39" s="603"/>
      <c r="H39" s="603"/>
    </row>
    <row r="40" spans="1:8" x14ac:dyDescent="0.35">
      <c r="A40" s="635" t="s">
        <v>436</v>
      </c>
      <c r="B40" s="603"/>
      <c r="C40" s="603"/>
      <c r="D40" s="603"/>
      <c r="E40" s="602"/>
      <c r="F40" s="603"/>
      <c r="G40" s="603" t="s">
        <v>441</v>
      </c>
      <c r="H40" s="603"/>
    </row>
    <row r="41" spans="1:8" ht="43.5" x14ac:dyDescent="0.35">
      <c r="A41" s="653" t="s">
        <v>281</v>
      </c>
      <c r="B41" s="648" t="str">
        <f>B23</f>
        <v>Ühik</v>
      </c>
      <c r="C41" s="648" t="s">
        <v>438</v>
      </c>
      <c r="D41" s="649" t="s">
        <v>439</v>
      </c>
      <c r="E41" s="649" t="s">
        <v>440</v>
      </c>
      <c r="F41" s="603"/>
      <c r="G41" s="648" t="s">
        <v>442</v>
      </c>
      <c r="H41" s="648" t="s">
        <v>443</v>
      </c>
    </row>
    <row r="42" spans="1:8" hidden="1" x14ac:dyDescent="0.35">
      <c r="A42" s="600" t="str">
        <f>A33</f>
        <v>Stuudio</v>
      </c>
      <c r="B42" s="600" t="s">
        <v>437</v>
      </c>
      <c r="C42" s="654"/>
      <c r="D42" s="600"/>
      <c r="E42" s="615"/>
      <c r="F42" s="603"/>
      <c r="G42" s="654"/>
      <c r="H42" s="600"/>
    </row>
    <row r="43" spans="1:8" x14ac:dyDescent="0.35">
      <c r="A43" s="600" t="str">
        <f>A35</f>
        <v>Inkubaator</v>
      </c>
      <c r="B43" s="600" t="s">
        <v>437</v>
      </c>
      <c r="C43" s="654">
        <v>1</v>
      </c>
      <c r="D43" s="600">
        <f>C43*8</f>
        <v>8</v>
      </c>
      <c r="E43" s="615">
        <f>D43*250</f>
        <v>2000</v>
      </c>
      <c r="F43" s="603"/>
      <c r="G43" s="654">
        <v>3</v>
      </c>
      <c r="H43" s="600">
        <f>G43*250</f>
        <v>750</v>
      </c>
    </row>
    <row r="44" spans="1:8" x14ac:dyDescent="0.35">
      <c r="A44" s="603"/>
      <c r="B44" s="603"/>
      <c r="C44" s="603"/>
      <c r="D44" s="603"/>
      <c r="E44" s="602"/>
      <c r="F44" s="603"/>
      <c r="G44" s="603"/>
      <c r="H44" s="603"/>
    </row>
    <row r="45" spans="1:8" x14ac:dyDescent="0.35">
      <c r="A45" s="635" t="s">
        <v>444</v>
      </c>
      <c r="B45" s="603"/>
      <c r="C45" s="603"/>
      <c r="D45" s="603"/>
      <c r="E45" s="603"/>
      <c r="F45" s="603"/>
      <c r="G45" s="603"/>
      <c r="H45" s="603"/>
    </row>
    <row r="46" spans="1:8" ht="29" x14ac:dyDescent="0.35">
      <c r="A46" s="653" t="s">
        <v>281</v>
      </c>
      <c r="B46" s="648" t="s">
        <v>446</v>
      </c>
      <c r="C46" s="648" t="s">
        <v>445</v>
      </c>
      <c r="D46" s="603"/>
      <c r="E46" s="603"/>
      <c r="F46" s="603"/>
      <c r="G46" s="603"/>
      <c r="H46" s="603"/>
    </row>
    <row r="47" spans="1:8" hidden="1" x14ac:dyDescent="0.35">
      <c r="A47" s="600" t="str">
        <f>A42</f>
        <v>Stuudio</v>
      </c>
      <c r="B47" s="600"/>
      <c r="C47" s="617"/>
      <c r="D47" s="603"/>
      <c r="E47" s="603"/>
      <c r="F47" s="603"/>
      <c r="G47" s="603"/>
      <c r="H47" s="603"/>
    </row>
    <row r="48" spans="1:8" x14ac:dyDescent="0.35">
      <c r="A48" s="600" t="str">
        <f>A43</f>
        <v>Inkubaator</v>
      </c>
      <c r="B48" s="600">
        <v>10</v>
      </c>
      <c r="C48" s="617">
        <f>C35/B48</f>
        <v>75.717500000000001</v>
      </c>
      <c r="D48" s="603"/>
      <c r="E48" s="603"/>
      <c r="F48" s="603"/>
      <c r="G48" s="603"/>
      <c r="H48" s="603"/>
    </row>
    <row r="49" spans="1:8" x14ac:dyDescent="0.35">
      <c r="A49" s="600" t="s">
        <v>342</v>
      </c>
      <c r="B49" s="600"/>
      <c r="C49" s="617">
        <f>SUM(C47:C48)</f>
        <v>75.717500000000001</v>
      </c>
      <c r="D49" s="603"/>
      <c r="E49" s="603"/>
      <c r="F49" s="603"/>
      <c r="G49" s="603"/>
      <c r="H49" s="603"/>
    </row>
    <row r="50" spans="1:8" x14ac:dyDescent="0.35">
      <c r="E50" s="712"/>
    </row>
  </sheetData>
  <mergeCells count="8">
    <mergeCell ref="F23:F24"/>
    <mergeCell ref="G23:G24"/>
    <mergeCell ref="B31:B32"/>
    <mergeCell ref="C31:E31"/>
    <mergeCell ref="B23:B24"/>
    <mergeCell ref="C23:C24"/>
    <mergeCell ref="D23:D24"/>
    <mergeCell ref="E23:E24"/>
  </mergeCells>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77"/>
  <sheetViews>
    <sheetView topLeftCell="A17" workbookViewId="0">
      <selection activeCell="B29" sqref="B29"/>
    </sheetView>
  </sheetViews>
  <sheetFormatPr defaultColWidth="9.1796875" defaultRowHeight="14.5" outlineLevelRow="1" outlineLevelCol="1" x14ac:dyDescent="0.35"/>
  <cols>
    <col min="1" max="1" width="32.81640625" style="711" customWidth="1"/>
    <col min="2" max="2" width="15.1796875" style="711" customWidth="1" outlineLevel="1"/>
    <col min="3" max="3" width="9.26953125" style="711" customWidth="1" outlineLevel="1"/>
    <col min="4" max="5" width="14.1796875" style="711" customWidth="1"/>
    <col min="6" max="6" width="14.81640625" style="711" hidden="1" customWidth="1" outlineLevel="1"/>
    <col min="7" max="7" width="17.453125" style="711" hidden="1" customWidth="1" outlineLevel="1"/>
    <col min="8" max="8" width="16.1796875" style="711" hidden="1" customWidth="1" outlineLevel="1"/>
    <col min="9" max="9" width="11.81640625" style="711" hidden="1" customWidth="1" outlineLevel="1"/>
    <col min="10" max="10" width="21.453125" style="711" hidden="1" customWidth="1" outlineLevel="1"/>
    <col min="11" max="11" width="17" style="711" hidden="1" customWidth="1" outlineLevel="1"/>
    <col min="12" max="12" width="9.1796875" style="711" collapsed="1"/>
    <col min="13" max="16384" width="9.1796875" style="711"/>
  </cols>
  <sheetData>
    <row r="1" spans="1:18" x14ac:dyDescent="0.35">
      <c r="A1" s="671" t="s">
        <v>9</v>
      </c>
      <c r="B1" s="603"/>
      <c r="C1" s="603"/>
      <c r="D1" s="655"/>
      <c r="E1" s="655"/>
      <c r="F1" s="497"/>
      <c r="G1" s="492">
        <f>'[1]5. Abikõlblik kulu'!D13</f>
        <v>0</v>
      </c>
      <c r="H1"/>
      <c r="I1"/>
      <c r="J1"/>
      <c r="K1"/>
      <c r="L1"/>
      <c r="M1"/>
      <c r="N1"/>
      <c r="O1"/>
      <c r="P1"/>
      <c r="Q1"/>
      <c r="R1"/>
    </row>
    <row r="2" spans="1:18" ht="43.5" x14ac:dyDescent="0.35">
      <c r="A2" s="600"/>
      <c r="B2" s="672"/>
      <c r="C2" s="606"/>
      <c r="D2" s="648" t="s">
        <v>476</v>
      </c>
      <c r="E2" s="648" t="s">
        <v>477</v>
      </c>
      <c r="F2" s="487" t="s">
        <v>285</v>
      </c>
      <c r="G2" s="487" t="s">
        <v>286</v>
      </c>
      <c r="H2"/>
      <c r="I2"/>
      <c r="J2"/>
      <c r="K2"/>
      <c r="L2"/>
      <c r="M2"/>
      <c r="N2"/>
      <c r="O2"/>
      <c r="P2"/>
      <c r="Q2"/>
      <c r="R2"/>
    </row>
    <row r="3" spans="1:18" x14ac:dyDescent="0.35">
      <c r="A3" s="673" t="s">
        <v>349</v>
      </c>
      <c r="B3" s="640"/>
      <c r="C3" s="674"/>
      <c r="D3" s="674"/>
      <c r="E3" s="674"/>
      <c r="F3" s="488"/>
      <c r="G3" s="488"/>
      <c r="H3"/>
      <c r="I3"/>
      <c r="J3"/>
      <c r="K3"/>
      <c r="L3"/>
      <c r="M3"/>
      <c r="N3"/>
      <c r="O3"/>
      <c r="P3"/>
      <c r="Q3"/>
      <c r="R3"/>
    </row>
    <row r="4" spans="1:18" x14ac:dyDescent="0.35">
      <c r="A4" s="640" t="s">
        <v>411</v>
      </c>
      <c r="B4" s="640"/>
      <c r="C4" s="674"/>
      <c r="D4" s="674">
        <f>E4/12</f>
        <v>651.10159283333337</v>
      </c>
      <c r="E4" s="674">
        <f>E20+E14+E5</f>
        <v>7813.2191140000004</v>
      </c>
      <c r="F4" s="505">
        <f t="shared" ref="F4:G4" si="0">F20+F14+F5</f>
        <v>5109.9445582990966</v>
      </c>
      <c r="G4" s="505">
        <f t="shared" si="0"/>
        <v>2703.2745557009034</v>
      </c>
      <c r="H4" s="506">
        <f t="shared" ref="H4:H11" si="1">G4/$G$62</f>
        <v>2.0230204171133456E-2</v>
      </c>
      <c r="I4"/>
      <c r="J4"/>
      <c r="K4"/>
      <c r="L4"/>
      <c r="M4"/>
      <c r="N4"/>
      <c r="O4"/>
      <c r="P4"/>
      <c r="Q4"/>
      <c r="R4"/>
    </row>
    <row r="5" spans="1:18" x14ac:dyDescent="0.35">
      <c r="A5" s="639" t="s">
        <v>287</v>
      </c>
      <c r="B5" s="675" t="s">
        <v>548</v>
      </c>
      <c r="C5" s="674">
        <f>C6+C9</f>
        <v>75.228319999999997</v>
      </c>
      <c r="D5" s="676"/>
      <c r="E5" s="674">
        <f>E6+E9</f>
        <v>4722.8339296000004</v>
      </c>
      <c r="F5" s="507">
        <f>F6+F9</f>
        <v>3039.5340251975181</v>
      </c>
      <c r="G5" s="507">
        <f>E5-F5</f>
        <v>1683.2999044024823</v>
      </c>
      <c r="H5" s="506">
        <f t="shared" si="1"/>
        <v>1.2597129905098476E-2</v>
      </c>
      <c r="I5"/>
      <c r="J5"/>
      <c r="K5"/>
      <c r="L5"/>
      <c r="M5"/>
      <c r="N5"/>
      <c r="O5"/>
      <c r="P5"/>
      <c r="Q5"/>
      <c r="R5"/>
    </row>
    <row r="6" spans="1:18" outlineLevel="1" x14ac:dyDescent="0.35">
      <c r="A6" s="677" t="s">
        <v>431</v>
      </c>
      <c r="B6" s="675" t="s">
        <v>548</v>
      </c>
      <c r="C6" s="678">
        <f>SUM(C7:C8)</f>
        <v>0</v>
      </c>
      <c r="D6" s="676"/>
      <c r="E6" s="678">
        <f>SUM(E7:E8)</f>
        <v>0</v>
      </c>
      <c r="F6" s="508">
        <f>SUM(F7:F8)</f>
        <v>0</v>
      </c>
      <c r="G6" s="508">
        <f>E6-F6</f>
        <v>0</v>
      </c>
      <c r="H6" s="506">
        <f t="shared" si="1"/>
        <v>0</v>
      </c>
      <c r="I6"/>
      <c r="J6"/>
      <c r="K6"/>
      <c r="L6"/>
      <c r="M6"/>
      <c r="N6"/>
      <c r="O6"/>
      <c r="P6"/>
      <c r="Q6"/>
      <c r="R6"/>
    </row>
    <row r="7" spans="1:18" outlineLevel="1" x14ac:dyDescent="0.35">
      <c r="A7" s="679" t="s">
        <v>478</v>
      </c>
      <c r="B7" s="675" t="s">
        <v>548</v>
      </c>
      <c r="C7" s="720"/>
      <c r="D7" s="680"/>
      <c r="E7" s="678">
        <f>C7*Eeldused25!$C$4</f>
        <v>0</v>
      </c>
      <c r="F7" s="508">
        <f>E7</f>
        <v>0</v>
      </c>
      <c r="G7" s="508">
        <f>E7-F7</f>
        <v>0</v>
      </c>
      <c r="H7" s="506">
        <f t="shared" si="1"/>
        <v>0</v>
      </c>
      <c r="I7"/>
      <c r="J7"/>
      <c r="K7"/>
      <c r="L7"/>
      <c r="M7"/>
      <c r="N7"/>
      <c r="O7"/>
      <c r="P7"/>
      <c r="Q7"/>
      <c r="R7"/>
    </row>
    <row r="8" spans="1:18" outlineLevel="1" x14ac:dyDescent="0.35">
      <c r="A8" s="681" t="s">
        <v>479</v>
      </c>
      <c r="B8" s="675" t="s">
        <v>548</v>
      </c>
      <c r="C8" s="720"/>
      <c r="D8" s="680"/>
      <c r="E8" s="678">
        <f>C8*Eeldused25!$C$4</f>
        <v>0</v>
      </c>
      <c r="F8" s="508"/>
      <c r="G8" s="508">
        <f>E8-F8</f>
        <v>0</v>
      </c>
      <c r="H8" s="506">
        <f t="shared" si="1"/>
        <v>0</v>
      </c>
      <c r="I8"/>
      <c r="J8"/>
      <c r="K8"/>
      <c r="L8"/>
      <c r="M8"/>
      <c r="N8"/>
      <c r="O8"/>
      <c r="P8"/>
      <c r="Q8"/>
      <c r="R8"/>
    </row>
    <row r="9" spans="1:18" outlineLevel="1" x14ac:dyDescent="0.35">
      <c r="A9" s="677" t="s">
        <v>279</v>
      </c>
      <c r="B9" s="675" t="s">
        <v>548</v>
      </c>
      <c r="C9" s="678">
        <f>SUM(C10:C13)</f>
        <v>75.228319999999997</v>
      </c>
      <c r="D9" s="680"/>
      <c r="E9" s="678">
        <f>SUM(E10:E13)</f>
        <v>4722.8339296000004</v>
      </c>
      <c r="F9" s="508">
        <f>SUM(F10:F13)</f>
        <v>3039.5340251975181</v>
      </c>
      <c r="G9" s="508">
        <f>SUM(G10:G13)</f>
        <v>1683.2999044024821</v>
      </c>
      <c r="H9" s="506">
        <f t="shared" si="1"/>
        <v>1.2597129905098474E-2</v>
      </c>
      <c r="I9"/>
      <c r="J9"/>
      <c r="K9"/>
      <c r="L9"/>
      <c r="M9"/>
      <c r="N9"/>
      <c r="O9"/>
      <c r="P9"/>
      <c r="Q9"/>
      <c r="R9"/>
    </row>
    <row r="10" spans="1:18" outlineLevel="1" x14ac:dyDescent="0.35">
      <c r="A10" s="679" t="s">
        <v>478</v>
      </c>
      <c r="B10" s="675" t="s">
        <v>548</v>
      </c>
      <c r="C10" s="720">
        <f>Eeldused25!C14*(Eeldused25!C36*Ruumid!B36)/1000</f>
        <v>48.41564232554186</v>
      </c>
      <c r="D10" s="680"/>
      <c r="E10" s="678">
        <f>C10*Eeldused25!$C$4</f>
        <v>3039.5340251975181</v>
      </c>
      <c r="F10" s="508">
        <f>E10</f>
        <v>3039.5340251975181</v>
      </c>
      <c r="G10" s="508">
        <f>E10-F10</f>
        <v>0</v>
      </c>
      <c r="H10" s="506">
        <f t="shared" si="1"/>
        <v>0</v>
      </c>
      <c r="I10"/>
      <c r="J10"/>
      <c r="K10"/>
      <c r="L10"/>
      <c r="M10"/>
      <c r="N10"/>
      <c r="O10"/>
      <c r="P10"/>
      <c r="Q10"/>
      <c r="R10"/>
    </row>
    <row r="11" spans="1:18" ht="17.25" customHeight="1" outlineLevel="1" x14ac:dyDescent="0.35">
      <c r="A11" s="681" t="s">
        <v>479</v>
      </c>
      <c r="B11" s="675" t="s">
        <v>548</v>
      </c>
      <c r="C11" s="720">
        <f>Eeldused25!D14*(Eeldused25!D36*Ruumid!B36)/1000</f>
        <v>26.81267767445814</v>
      </c>
      <c r="D11" s="680"/>
      <c r="E11" s="678">
        <f>C11*Eeldused25!$C$4</f>
        <v>1683.2999044024821</v>
      </c>
      <c r="F11" s="508"/>
      <c r="G11" s="508">
        <f>E11</f>
        <v>1683.2999044024821</v>
      </c>
      <c r="H11" s="506">
        <f t="shared" si="1"/>
        <v>1.2597129905098474E-2</v>
      </c>
      <c r="I11"/>
      <c r="J11"/>
      <c r="K11"/>
      <c r="L11"/>
      <c r="M11"/>
      <c r="N11"/>
      <c r="O11"/>
      <c r="P11"/>
      <c r="Q11"/>
      <c r="R11"/>
    </row>
    <row r="12" spans="1:18" ht="14.25" customHeight="1" outlineLevel="1" x14ac:dyDescent="0.35">
      <c r="A12" s="679"/>
      <c r="B12" s="675"/>
      <c r="C12" s="678"/>
      <c r="D12" s="680"/>
      <c r="E12" s="678"/>
      <c r="F12" s="509"/>
      <c r="G12" s="510"/>
      <c r="H12" s="506"/>
      <c r="I12"/>
      <c r="J12"/>
      <c r="K12"/>
      <c r="L12"/>
      <c r="M12"/>
      <c r="N12"/>
      <c r="O12"/>
      <c r="P12"/>
      <c r="Q12"/>
      <c r="R12"/>
    </row>
    <row r="13" spans="1:18" outlineLevel="1" x14ac:dyDescent="0.35">
      <c r="A13" s="679"/>
      <c r="B13" s="675"/>
      <c r="C13" s="678"/>
      <c r="D13" s="680"/>
      <c r="E13" s="678"/>
      <c r="F13" s="509"/>
      <c r="G13" s="510"/>
      <c r="H13" s="506"/>
      <c r="I13"/>
      <c r="J13"/>
      <c r="K13"/>
      <c r="L13"/>
      <c r="M13"/>
      <c r="N13"/>
      <c r="O13"/>
      <c r="P13"/>
      <c r="Q13"/>
      <c r="R13"/>
    </row>
    <row r="14" spans="1:18" x14ac:dyDescent="0.35">
      <c r="A14" s="639" t="s">
        <v>288</v>
      </c>
      <c r="B14" s="675" t="s">
        <v>480</v>
      </c>
      <c r="C14" s="674">
        <f>C15+C17</f>
        <v>4016.9250000000002</v>
      </c>
      <c r="D14" s="676"/>
      <c r="E14" s="674">
        <f>E15+E17</f>
        <v>600.5302875000001</v>
      </c>
      <c r="F14" s="507">
        <f>F15+F17</f>
        <v>467.983094461326</v>
      </c>
      <c r="G14" s="507">
        <f>G15+G17</f>
        <v>132.5471930386741</v>
      </c>
      <c r="H14" s="511">
        <f t="shared" ref="H14:H39" si="2">G14/$G$62</f>
        <v>9.9192912973938363E-4</v>
      </c>
      <c r="I14"/>
      <c r="J14"/>
      <c r="K14"/>
      <c r="L14"/>
      <c r="M14"/>
      <c r="N14"/>
      <c r="O14"/>
      <c r="P14"/>
      <c r="Q14"/>
      <c r="R14"/>
    </row>
    <row r="15" spans="1:18" outlineLevel="1" x14ac:dyDescent="0.35">
      <c r="A15" s="677" t="str">
        <f>A6</f>
        <v>Stuudio</v>
      </c>
      <c r="B15" s="675" t="s">
        <v>481</v>
      </c>
      <c r="C15" s="678">
        <f>C16</f>
        <v>0</v>
      </c>
      <c r="D15" s="680"/>
      <c r="E15" s="678">
        <f>E16</f>
        <v>0</v>
      </c>
      <c r="F15" s="508">
        <f>F16</f>
        <v>0</v>
      </c>
      <c r="G15" s="508">
        <f>G16</f>
        <v>0</v>
      </c>
      <c r="H15" s="511">
        <f t="shared" si="2"/>
        <v>0</v>
      </c>
      <c r="I15"/>
      <c r="J15"/>
      <c r="K15"/>
      <c r="L15"/>
      <c r="M15"/>
      <c r="N15"/>
      <c r="O15"/>
      <c r="P15"/>
      <c r="Q15"/>
      <c r="R15"/>
    </row>
    <row r="16" spans="1:18" outlineLevel="1" x14ac:dyDescent="0.35">
      <c r="A16" s="679" t="s">
        <v>478</v>
      </c>
      <c r="B16" s="675" t="s">
        <v>481</v>
      </c>
      <c r="C16" s="678">
        <f>Eeldused25!C16*Eeldused25!H42*(Eeldused25!C25*Eeldused25!C34)/1000</f>
        <v>0</v>
      </c>
      <c r="D16" s="680"/>
      <c r="E16" s="678">
        <f>C16*Eeldused25!C5</f>
        <v>0</v>
      </c>
      <c r="F16" s="508">
        <f>E16</f>
        <v>0</v>
      </c>
      <c r="G16" s="508"/>
      <c r="H16" s="511">
        <f t="shared" si="2"/>
        <v>0</v>
      </c>
      <c r="I16"/>
      <c r="J16"/>
      <c r="K16"/>
      <c r="L16"/>
      <c r="M16"/>
      <c r="N16"/>
      <c r="O16"/>
      <c r="P16"/>
      <c r="Q16"/>
      <c r="R16"/>
    </row>
    <row r="17" spans="1:18" outlineLevel="1" x14ac:dyDescent="0.35">
      <c r="A17" s="677" t="str">
        <f>A9</f>
        <v>Inkubaator</v>
      </c>
      <c r="B17" s="675" t="s">
        <v>481</v>
      </c>
      <c r="C17" s="678">
        <f>SUM(C18:C19)</f>
        <v>4016.9250000000002</v>
      </c>
      <c r="D17" s="680"/>
      <c r="E17" s="678">
        <f>SUM(E18:E19)</f>
        <v>600.5302875000001</v>
      </c>
      <c r="F17" s="508">
        <f>SUM(F18:F19)</f>
        <v>467.983094461326</v>
      </c>
      <c r="G17" s="508">
        <f>SUM(G18:G19)</f>
        <v>132.5471930386741</v>
      </c>
      <c r="H17" s="511">
        <f t="shared" si="2"/>
        <v>9.9192912973938363E-4</v>
      </c>
      <c r="I17"/>
      <c r="J17"/>
      <c r="K17"/>
      <c r="L17"/>
      <c r="M17"/>
      <c r="N17"/>
      <c r="O17"/>
      <c r="P17"/>
      <c r="Q17"/>
      <c r="R17"/>
    </row>
    <row r="18" spans="1:18" outlineLevel="1" x14ac:dyDescent="0.35">
      <c r="A18" s="679" t="s">
        <v>478</v>
      </c>
      <c r="B18" s="675" t="s">
        <v>481</v>
      </c>
      <c r="C18" s="678">
        <f>Eeldused25!C17*Eeldused25!H43*(Eeldused25!C27*Eeldused25!C36)/1000</f>
        <v>3130.3217020824477</v>
      </c>
      <c r="D18" s="680"/>
      <c r="E18" s="678">
        <f>C18*Eeldused25!$C$5</f>
        <v>467.983094461326</v>
      </c>
      <c r="F18" s="508">
        <f>E18</f>
        <v>467.983094461326</v>
      </c>
      <c r="G18" s="508"/>
      <c r="H18" s="511">
        <f t="shared" si="2"/>
        <v>0</v>
      </c>
      <c r="I18"/>
      <c r="J18"/>
      <c r="K18"/>
      <c r="L18"/>
      <c r="M18"/>
      <c r="N18"/>
      <c r="O18"/>
      <c r="P18"/>
      <c r="Q18"/>
      <c r="R18"/>
    </row>
    <row r="19" spans="1:18" outlineLevel="1" x14ac:dyDescent="0.35">
      <c r="A19" s="681" t="s">
        <v>482</v>
      </c>
      <c r="B19" s="675" t="s">
        <v>481</v>
      </c>
      <c r="C19" s="678">
        <f>Eeldused25!C17*Eeldused25!H43*(Eeldused25!C27*Eeldused25!D36-Eeldused25!E27)/1000</f>
        <v>886.60329791755225</v>
      </c>
      <c r="D19" s="680"/>
      <c r="E19" s="678">
        <f>C19*Eeldused25!C5</f>
        <v>132.5471930386741</v>
      </c>
      <c r="F19" s="508"/>
      <c r="G19" s="508">
        <f>E19-F19</f>
        <v>132.5471930386741</v>
      </c>
      <c r="H19" s="511">
        <f t="shared" si="2"/>
        <v>9.9192912973938363E-4</v>
      </c>
      <c r="I19"/>
      <c r="J19"/>
      <c r="K19"/>
      <c r="L19"/>
      <c r="M19"/>
      <c r="N19"/>
      <c r="O19"/>
      <c r="P19"/>
      <c r="Q19"/>
      <c r="R19"/>
    </row>
    <row r="20" spans="1:18" x14ac:dyDescent="0.35">
      <c r="A20" s="639" t="s">
        <v>398</v>
      </c>
      <c r="B20" s="640" t="s">
        <v>388</v>
      </c>
      <c r="C20" s="674">
        <f>SUM(C21:C22)</f>
        <v>954.04050000000007</v>
      </c>
      <c r="D20" s="674"/>
      <c r="E20" s="674">
        <f>C20*Eeldused25!C8+C21*Eeldused25!C6+C22*Eeldused25!C20</f>
        <v>2489.8548968999999</v>
      </c>
      <c r="F20" s="494">
        <f>E20*Eeldused25!C38</f>
        <v>1602.4274386402526</v>
      </c>
      <c r="G20" s="495">
        <f>E20*Eeldused25!D38</f>
        <v>887.42745825974703</v>
      </c>
      <c r="H20" s="511">
        <f t="shared" si="2"/>
        <v>6.6411451362955974E-3</v>
      </c>
      <c r="I20"/>
      <c r="J20"/>
      <c r="K20"/>
      <c r="L20"/>
      <c r="M20"/>
      <c r="N20"/>
      <c r="O20"/>
      <c r="P20"/>
      <c r="Q20"/>
      <c r="R20"/>
    </row>
    <row r="21" spans="1:18" hidden="1" outlineLevel="1" x14ac:dyDescent="0.35">
      <c r="A21" s="679" t="s">
        <v>399</v>
      </c>
      <c r="B21" s="640" t="s">
        <v>388</v>
      </c>
      <c r="C21" s="674">
        <f>Eeldused25!C19*Eeldused25!C49*12</f>
        <v>572.42430000000002</v>
      </c>
      <c r="D21" s="674"/>
      <c r="E21" s="674"/>
      <c r="F21" s="493"/>
      <c r="G21" s="493"/>
      <c r="H21" s="511">
        <f t="shared" si="2"/>
        <v>0</v>
      </c>
      <c r="I21"/>
      <c r="J21"/>
      <c r="K21"/>
      <c r="L21"/>
      <c r="M21"/>
      <c r="N21"/>
      <c r="O21"/>
      <c r="P21"/>
      <c r="Q21"/>
      <c r="R21"/>
    </row>
    <row r="22" spans="1:18" hidden="1" outlineLevel="1" x14ac:dyDescent="0.35">
      <c r="A22" s="679" t="s">
        <v>400</v>
      </c>
      <c r="B22" s="640" t="s">
        <v>388</v>
      </c>
      <c r="C22" s="674">
        <f>Eeldused25!C20*Eeldused25!C49*12</f>
        <v>381.61620000000005</v>
      </c>
      <c r="D22" s="674"/>
      <c r="E22" s="674"/>
      <c r="F22" s="493"/>
      <c r="G22" s="493"/>
      <c r="H22" s="511">
        <f t="shared" si="2"/>
        <v>0</v>
      </c>
      <c r="I22"/>
      <c r="J22"/>
      <c r="K22"/>
      <c r="L22"/>
      <c r="M22"/>
      <c r="N22"/>
      <c r="O22"/>
      <c r="P22"/>
      <c r="Q22"/>
      <c r="R22"/>
    </row>
    <row r="23" spans="1:18" collapsed="1" x14ac:dyDescent="0.35">
      <c r="A23" s="639"/>
      <c r="B23" s="640"/>
      <c r="C23" s="674"/>
      <c r="D23" s="600"/>
      <c r="E23" s="674"/>
      <c r="F23" s="509"/>
      <c r="G23" s="510"/>
      <c r="H23" s="506">
        <f t="shared" si="2"/>
        <v>0</v>
      </c>
      <c r="I23"/>
      <c r="J23"/>
      <c r="K23"/>
      <c r="L23"/>
      <c r="M23"/>
      <c r="N23"/>
      <c r="O23"/>
      <c r="P23"/>
      <c r="Q23"/>
      <c r="R23"/>
    </row>
    <row r="24" spans="1:18" x14ac:dyDescent="0.35">
      <c r="A24" s="607"/>
      <c r="B24" s="675"/>
      <c r="C24" s="674"/>
      <c r="D24" s="600"/>
      <c r="E24" s="674"/>
      <c r="F24" s="512"/>
      <c r="G24" s="510"/>
      <c r="H24" s="506">
        <f t="shared" si="2"/>
        <v>0</v>
      </c>
      <c r="I24"/>
      <c r="J24"/>
      <c r="K24"/>
      <c r="L24"/>
      <c r="M24"/>
      <c r="N24"/>
      <c r="O24"/>
      <c r="P24"/>
      <c r="Q24"/>
      <c r="R24"/>
    </row>
    <row r="25" spans="1:18" ht="29.15" customHeight="1" x14ac:dyDescent="0.35">
      <c r="A25" s="640" t="s">
        <v>410</v>
      </c>
      <c r="B25" s="639"/>
      <c r="C25" s="676"/>
      <c r="D25" s="674">
        <f>SUM(D26:D28)</f>
        <v>5655.7260000000006</v>
      </c>
      <c r="E25" s="674">
        <f>SUM(E26:E28)</f>
        <v>67868.712</v>
      </c>
      <c r="F25" s="512">
        <f>SUM(F26:F28)</f>
        <v>0</v>
      </c>
      <c r="G25" s="496">
        <f>SUM(G26:G28)</f>
        <v>67868.712</v>
      </c>
      <c r="H25" s="506">
        <f t="shared" si="2"/>
        <v>0.50790175851592889</v>
      </c>
      <c r="I25"/>
      <c r="J25"/>
      <c r="L25"/>
      <c r="M25"/>
      <c r="N25"/>
      <c r="O25"/>
      <c r="P25"/>
      <c r="Q25"/>
      <c r="R25"/>
    </row>
    <row r="26" spans="1:18" ht="17.5" customHeight="1" outlineLevel="1" x14ac:dyDescent="0.35">
      <c r="A26" s="639" t="s">
        <v>396</v>
      </c>
      <c r="B26" s="682" t="s">
        <v>550</v>
      </c>
      <c r="C26" s="674">
        <v>2818</v>
      </c>
      <c r="D26" s="674">
        <f>C26*1.338*K26</f>
        <v>1885.2420000000002</v>
      </c>
      <c r="E26" s="674">
        <f>D26*12</f>
        <v>22622.904000000002</v>
      </c>
      <c r="F26" s="513"/>
      <c r="G26" s="496">
        <f>E26</f>
        <v>22622.904000000002</v>
      </c>
      <c r="H26" s="506">
        <f t="shared" si="2"/>
        <v>0.16930058617197632</v>
      </c>
      <c r="I26"/>
      <c r="J26" t="s">
        <v>495</v>
      </c>
      <c r="K26" s="697">
        <v>0.5</v>
      </c>
      <c r="L26"/>
      <c r="M26"/>
      <c r="N26"/>
      <c r="O26"/>
      <c r="P26"/>
      <c r="Q26"/>
      <c r="R26"/>
    </row>
    <row r="27" spans="1:18" ht="26.15" customHeight="1" outlineLevel="1" x14ac:dyDescent="0.35">
      <c r="A27" s="639" t="s">
        <v>397</v>
      </c>
      <c r="B27" s="682" t="s">
        <v>550</v>
      </c>
      <c r="C27" s="674">
        <v>2818</v>
      </c>
      <c r="D27" s="674">
        <f>C27*1.338*K27</f>
        <v>1885.2420000000002</v>
      </c>
      <c r="E27" s="674">
        <f>D27*12</f>
        <v>22622.904000000002</v>
      </c>
      <c r="F27" s="513"/>
      <c r="G27" s="496">
        <f>E27</f>
        <v>22622.904000000002</v>
      </c>
      <c r="H27" s="506">
        <f t="shared" si="2"/>
        <v>0.16930058617197632</v>
      </c>
      <c r="I27"/>
      <c r="J27"/>
      <c r="K27" s="697">
        <v>0.5</v>
      </c>
      <c r="L27"/>
      <c r="M27"/>
      <c r="N27"/>
      <c r="O27"/>
      <c r="P27"/>
      <c r="Q27"/>
      <c r="R27"/>
    </row>
    <row r="28" spans="1:18" ht="13.5" customHeight="1" outlineLevel="1" x14ac:dyDescent="0.35">
      <c r="A28" s="639" t="s">
        <v>505</v>
      </c>
      <c r="B28" s="682" t="s">
        <v>550</v>
      </c>
      <c r="C28" s="674">
        <v>2818</v>
      </c>
      <c r="D28" s="674">
        <f>C28*1.338*K28</f>
        <v>1885.2420000000002</v>
      </c>
      <c r="E28" s="674">
        <f>D28*12</f>
        <v>22622.904000000002</v>
      </c>
      <c r="F28" s="513"/>
      <c r="G28" s="496">
        <f>E28</f>
        <v>22622.904000000002</v>
      </c>
      <c r="H28" s="506">
        <f t="shared" si="2"/>
        <v>0.16930058617197632</v>
      </c>
      <c r="I28"/>
      <c r="J28"/>
      <c r="K28" s="697">
        <v>0.5</v>
      </c>
      <c r="L28"/>
      <c r="M28"/>
      <c r="N28"/>
      <c r="O28"/>
      <c r="P28"/>
      <c r="Q28"/>
      <c r="R28"/>
    </row>
    <row r="29" spans="1:18" x14ac:dyDescent="0.35">
      <c r="A29" s="640" t="s">
        <v>408</v>
      </c>
      <c r="B29" s="683"/>
      <c r="C29" s="684"/>
      <c r="D29" s="674">
        <f>E29/12</f>
        <v>450</v>
      </c>
      <c r="E29" s="684">
        <f>SUM(E30:E30)</f>
        <v>5400</v>
      </c>
      <c r="F29" s="512">
        <f>SUM(F30:F30)</f>
        <v>0</v>
      </c>
      <c r="G29" s="496">
        <f>SUM(G30:G30)</f>
        <v>5400</v>
      </c>
      <c r="H29" s="506">
        <f t="shared" si="2"/>
        <v>4.0411397463768227E-2</v>
      </c>
      <c r="I29"/>
      <c r="J29"/>
      <c r="K29"/>
      <c r="L29"/>
      <c r="M29"/>
      <c r="N29"/>
      <c r="O29"/>
      <c r="P29"/>
      <c r="Q29"/>
      <c r="R29"/>
    </row>
    <row r="30" spans="1:18" hidden="1" outlineLevel="1" x14ac:dyDescent="0.35">
      <c r="A30" s="639" t="s">
        <v>409</v>
      </c>
      <c r="B30" s="640"/>
      <c r="C30" s="674"/>
      <c r="D30" s="701">
        <v>450</v>
      </c>
      <c r="E30" s="674">
        <f>D30*12</f>
        <v>5400</v>
      </c>
      <c r="F30" s="513"/>
      <c r="G30" s="512">
        <f>E30</f>
        <v>5400</v>
      </c>
      <c r="H30" s="506">
        <f t="shared" si="2"/>
        <v>4.0411397463768227E-2</v>
      </c>
      <c r="I30"/>
      <c r="J30"/>
      <c r="K30"/>
      <c r="L30"/>
      <c r="M30"/>
      <c r="N30"/>
      <c r="O30"/>
      <c r="P30"/>
      <c r="Q30"/>
      <c r="R30"/>
    </row>
    <row r="31" spans="1:18" collapsed="1" x14ac:dyDescent="0.35">
      <c r="A31" s="640" t="s">
        <v>401</v>
      </c>
      <c r="B31" s="640"/>
      <c r="C31" s="674"/>
      <c r="D31" s="674">
        <f>E31/12</f>
        <v>700</v>
      </c>
      <c r="E31" s="674">
        <f>E32+E33</f>
        <v>8400</v>
      </c>
      <c r="F31" s="512">
        <f>SUM(F32:F33)</f>
        <v>0</v>
      </c>
      <c r="G31" s="512">
        <f>SUM(G32:G33)</f>
        <v>8400</v>
      </c>
      <c r="H31" s="506">
        <f t="shared" si="2"/>
        <v>6.2862173832528345E-2</v>
      </c>
      <c r="I31"/>
      <c r="J31"/>
      <c r="K31"/>
      <c r="L31"/>
      <c r="M31"/>
      <c r="N31"/>
      <c r="O31"/>
      <c r="P31"/>
      <c r="Q31"/>
      <c r="R31"/>
    </row>
    <row r="32" spans="1:18" ht="22" hidden="1" outlineLevel="1" x14ac:dyDescent="0.35">
      <c r="A32" s="639" t="s">
        <v>289</v>
      </c>
      <c r="B32" s="682" t="s">
        <v>290</v>
      </c>
      <c r="C32" s="674"/>
      <c r="D32" s="701">
        <v>500</v>
      </c>
      <c r="E32" s="674">
        <f>D32*12</f>
        <v>6000</v>
      </c>
      <c r="F32" s="513"/>
      <c r="G32" s="512">
        <f>E32</f>
        <v>6000</v>
      </c>
      <c r="H32" s="506">
        <f t="shared" si="2"/>
        <v>4.4901552737520251E-2</v>
      </c>
      <c r="I32"/>
      <c r="J32"/>
      <c r="K32"/>
      <c r="L32"/>
      <c r="M32"/>
      <c r="N32"/>
      <c r="O32"/>
      <c r="P32"/>
      <c r="Q32"/>
      <c r="R32"/>
    </row>
    <row r="33" spans="1:18" ht="29" hidden="1" outlineLevel="1" x14ac:dyDescent="0.35">
      <c r="A33" s="639" t="s">
        <v>291</v>
      </c>
      <c r="B33" s="640"/>
      <c r="C33" s="674"/>
      <c r="D33" s="701">
        <v>200</v>
      </c>
      <c r="E33" s="674">
        <f>D33*12</f>
        <v>2400</v>
      </c>
      <c r="F33" s="513"/>
      <c r="G33" s="512">
        <f>E33</f>
        <v>2400</v>
      </c>
      <c r="H33" s="506">
        <f t="shared" si="2"/>
        <v>1.7960621095008102E-2</v>
      </c>
      <c r="I33"/>
      <c r="J33"/>
      <c r="K33"/>
      <c r="L33"/>
      <c r="M33"/>
      <c r="N33"/>
      <c r="O33"/>
      <c r="P33"/>
      <c r="Q33"/>
      <c r="R33"/>
    </row>
    <row r="34" spans="1:18" hidden="1" collapsed="1" x14ac:dyDescent="0.35">
      <c r="A34" s="639"/>
      <c r="B34" s="640"/>
      <c r="C34" s="674"/>
      <c r="D34" s="674"/>
      <c r="E34" s="674"/>
      <c r="F34" s="513"/>
      <c r="G34" s="512"/>
      <c r="H34" s="506">
        <f t="shared" si="2"/>
        <v>0</v>
      </c>
      <c r="I34"/>
      <c r="J34"/>
      <c r="K34"/>
      <c r="L34"/>
      <c r="M34"/>
      <c r="N34"/>
      <c r="O34"/>
      <c r="P34"/>
      <c r="Q34"/>
      <c r="R34"/>
    </row>
    <row r="35" spans="1:18" hidden="1" x14ac:dyDescent="0.35">
      <c r="A35" s="639"/>
      <c r="B35" s="640"/>
      <c r="C35" s="674"/>
      <c r="D35" s="674"/>
      <c r="E35" s="674"/>
      <c r="F35" s="513"/>
      <c r="G35" s="512"/>
      <c r="H35" s="506">
        <f t="shared" si="2"/>
        <v>0</v>
      </c>
      <c r="I35"/>
      <c r="J35"/>
      <c r="K35"/>
      <c r="L35"/>
      <c r="M35"/>
      <c r="N35"/>
      <c r="O35"/>
      <c r="P35"/>
      <c r="Q35"/>
      <c r="R35"/>
    </row>
    <row r="36" spans="1:18" x14ac:dyDescent="0.35">
      <c r="A36" s="640" t="s">
        <v>402</v>
      </c>
      <c r="B36" s="640"/>
      <c r="C36" s="674"/>
      <c r="D36" s="674">
        <f>E36/12</f>
        <v>3000</v>
      </c>
      <c r="E36" s="674">
        <f>SUM(E37:E42)</f>
        <v>36000</v>
      </c>
      <c r="F36" s="513">
        <f t="shared" ref="F36:G36" si="3">SUM(F37:F42)</f>
        <v>0</v>
      </c>
      <c r="G36" s="512">
        <f t="shared" si="3"/>
        <v>36000</v>
      </c>
      <c r="H36" s="506">
        <f t="shared" si="2"/>
        <v>0.2694093164251215</v>
      </c>
      <c r="I36"/>
      <c r="J36"/>
      <c r="K36"/>
      <c r="L36"/>
      <c r="M36"/>
      <c r="N36"/>
      <c r="O36"/>
      <c r="P36"/>
      <c r="Q36"/>
      <c r="R36"/>
    </row>
    <row r="37" spans="1:18" ht="29" hidden="1" x14ac:dyDescent="0.35">
      <c r="A37" s="639" t="s">
        <v>292</v>
      </c>
      <c r="B37" s="640"/>
      <c r="C37" s="674"/>
      <c r="D37" s="674"/>
      <c r="E37" s="674">
        <v>36000</v>
      </c>
      <c r="F37" s="513"/>
      <c r="G37" s="512">
        <f>E37</f>
        <v>36000</v>
      </c>
      <c r="H37" s="506">
        <f t="shared" si="2"/>
        <v>0.2694093164251215</v>
      </c>
      <c r="I37"/>
      <c r="J37"/>
      <c r="K37"/>
      <c r="L37"/>
      <c r="M37"/>
      <c r="N37"/>
      <c r="O37"/>
      <c r="P37"/>
      <c r="Q37"/>
      <c r="R37"/>
    </row>
    <row r="38" spans="1:18" hidden="1" x14ac:dyDescent="0.35">
      <c r="A38" s="639"/>
      <c r="B38" s="640"/>
      <c r="C38" s="674"/>
      <c r="D38" s="674"/>
      <c r="E38" s="674"/>
      <c r="F38" s="513"/>
      <c r="G38" s="512"/>
      <c r="H38" s="506">
        <f t="shared" si="2"/>
        <v>0</v>
      </c>
      <c r="I38"/>
      <c r="J38"/>
      <c r="K38"/>
      <c r="L38"/>
      <c r="M38"/>
      <c r="N38"/>
      <c r="O38"/>
      <c r="P38"/>
      <c r="Q38"/>
      <c r="R38"/>
    </row>
    <row r="39" spans="1:18" hidden="1" x14ac:dyDescent="0.35">
      <c r="A39" s="639"/>
      <c r="B39" s="640"/>
      <c r="C39" s="674"/>
      <c r="D39" s="674"/>
      <c r="E39" s="674"/>
      <c r="F39" s="513"/>
      <c r="G39" s="512"/>
      <c r="H39" s="506">
        <f t="shared" si="2"/>
        <v>0</v>
      </c>
      <c r="I39"/>
      <c r="J39"/>
      <c r="K39"/>
      <c r="L39"/>
      <c r="M39"/>
      <c r="N39"/>
      <c r="O39"/>
      <c r="P39"/>
      <c r="Q39"/>
      <c r="R39"/>
    </row>
    <row r="40" spans="1:18" hidden="1" x14ac:dyDescent="0.35">
      <c r="A40" s="639"/>
      <c r="B40" s="640"/>
      <c r="C40" s="674"/>
      <c r="D40" s="674"/>
      <c r="E40" s="674"/>
      <c r="F40" s="513"/>
      <c r="G40" s="512"/>
      <c r="H40" s="506"/>
      <c r="I40"/>
      <c r="J40"/>
      <c r="K40"/>
      <c r="L40"/>
      <c r="M40"/>
      <c r="N40"/>
      <c r="O40"/>
      <c r="P40"/>
      <c r="Q40"/>
      <c r="R40"/>
    </row>
    <row r="41" spans="1:18" hidden="1" x14ac:dyDescent="0.35">
      <c r="A41" s="639"/>
      <c r="B41" s="640"/>
      <c r="C41" s="674"/>
      <c r="D41" s="674"/>
      <c r="E41" s="674"/>
      <c r="F41" s="513"/>
      <c r="G41" s="512"/>
      <c r="H41" s="506"/>
      <c r="I41"/>
      <c r="J41"/>
      <c r="K41"/>
      <c r="L41"/>
      <c r="M41"/>
      <c r="N41"/>
      <c r="O41"/>
      <c r="P41"/>
      <c r="Q41"/>
      <c r="R41"/>
    </row>
    <row r="42" spans="1:18" hidden="1" x14ac:dyDescent="0.35">
      <c r="A42" s="639"/>
      <c r="B42" s="640"/>
      <c r="C42" s="674"/>
      <c r="D42" s="674"/>
      <c r="E42" s="674"/>
      <c r="F42" s="513"/>
      <c r="G42" s="512"/>
      <c r="H42" s="506"/>
      <c r="I42"/>
      <c r="J42"/>
      <c r="K42"/>
      <c r="L42"/>
      <c r="M42"/>
      <c r="N42"/>
      <c r="O42"/>
      <c r="P42"/>
      <c r="Q42"/>
      <c r="R42"/>
    </row>
    <row r="43" spans="1:18" x14ac:dyDescent="0.35">
      <c r="A43" s="640" t="s">
        <v>465</v>
      </c>
      <c r="B43" s="640"/>
      <c r="C43" s="674"/>
      <c r="D43" s="674">
        <f>E43/12</f>
        <v>760</v>
      </c>
      <c r="E43" s="674">
        <f>SUM(E44:E47)</f>
        <v>9120</v>
      </c>
      <c r="F43" s="514">
        <f>SUM(F44:F47)</f>
        <v>5869.473863153421</v>
      </c>
      <c r="G43" s="512">
        <f>SUM(G44:G47)</f>
        <v>3250.526136846579</v>
      </c>
      <c r="H43" s="506"/>
      <c r="I43"/>
      <c r="J43"/>
      <c r="K43"/>
      <c r="L43"/>
      <c r="M43"/>
      <c r="N43"/>
      <c r="O43"/>
      <c r="P43"/>
      <c r="Q43"/>
      <c r="R43"/>
    </row>
    <row r="44" spans="1:18" ht="32.5" hidden="1" outlineLevel="1" x14ac:dyDescent="0.35">
      <c r="A44" s="639" t="s">
        <v>293</v>
      </c>
      <c r="B44" s="682" t="s">
        <v>496</v>
      </c>
      <c r="C44" s="674"/>
      <c r="D44" s="701">
        <f>ROUND(8*8*10+700/12,-1)*1</f>
        <v>700</v>
      </c>
      <c r="E44" s="674">
        <f>D44*12</f>
        <v>8400</v>
      </c>
      <c r="F44" s="509">
        <f>E44*Eeldused25!$C$38</f>
        <v>5406.0943476413086</v>
      </c>
      <c r="G44" s="509">
        <f>E44*Eeldused25!$D$38</f>
        <v>2993.905652358691</v>
      </c>
      <c r="H44" s="506">
        <f>G44/$G$62</f>
        <v>2.2405168756757288E-2</v>
      </c>
      <c r="I44"/>
      <c r="J44"/>
      <c r="K44"/>
      <c r="L44"/>
      <c r="M44"/>
      <c r="N44"/>
      <c r="O44"/>
      <c r="P44"/>
      <c r="Q44"/>
      <c r="R44"/>
    </row>
    <row r="45" spans="1:18" hidden="1" outlineLevel="1" x14ac:dyDescent="0.35">
      <c r="A45" s="639" t="s">
        <v>294</v>
      </c>
      <c r="B45" s="640"/>
      <c r="C45" s="674"/>
      <c r="D45" s="702">
        <v>60</v>
      </c>
      <c r="E45" s="674">
        <f>D45*12</f>
        <v>720</v>
      </c>
      <c r="F45" s="509">
        <f>E45*Eeldused25!$C$38</f>
        <v>463.37951551211216</v>
      </c>
      <c r="G45" s="509">
        <f>E45*Eeldused25!$D$38</f>
        <v>256.62048448788778</v>
      </c>
      <c r="H45" s="506">
        <f>G45/$G$62</f>
        <v>1.9204430362934819E-3</v>
      </c>
      <c r="I45"/>
      <c r="J45"/>
      <c r="K45"/>
      <c r="L45"/>
      <c r="M45"/>
      <c r="N45"/>
      <c r="O45"/>
      <c r="P45"/>
      <c r="Q45"/>
      <c r="R45"/>
    </row>
    <row r="46" spans="1:18" hidden="1" outlineLevel="1" x14ac:dyDescent="0.35">
      <c r="A46" s="639" t="s">
        <v>295</v>
      </c>
      <c r="B46" s="640"/>
      <c r="C46" s="674"/>
      <c r="D46" s="674"/>
      <c r="E46" s="674"/>
      <c r="F46" s="513"/>
      <c r="G46" s="512"/>
      <c r="H46" s="506"/>
      <c r="I46"/>
      <c r="J46"/>
      <c r="K46"/>
      <c r="L46"/>
      <c r="M46"/>
      <c r="N46"/>
      <c r="O46"/>
      <c r="P46"/>
      <c r="Q46"/>
      <c r="R46"/>
    </row>
    <row r="47" spans="1:18" hidden="1" collapsed="1" x14ac:dyDescent="0.35">
      <c r="A47" s="639"/>
      <c r="B47" s="640"/>
      <c r="C47" s="674"/>
      <c r="D47" s="674"/>
      <c r="E47" s="674"/>
      <c r="F47" s="513"/>
      <c r="G47" s="512"/>
      <c r="H47" s="506"/>
      <c r="I47"/>
      <c r="J47"/>
      <c r="K47"/>
      <c r="L47"/>
      <c r="M47"/>
      <c r="N47"/>
      <c r="O47"/>
      <c r="P47"/>
      <c r="Q47"/>
      <c r="R47"/>
    </row>
    <row r="48" spans="1:18" ht="18" customHeight="1" x14ac:dyDescent="0.35">
      <c r="A48" s="640" t="s">
        <v>403</v>
      </c>
      <c r="B48" s="640"/>
      <c r="C48" s="674"/>
      <c r="D48" s="674">
        <f>E48/12</f>
        <v>538.91666666666663</v>
      </c>
      <c r="E48" s="674">
        <f>SUM(E49:E53)</f>
        <v>6467</v>
      </c>
      <c r="F48" s="514">
        <f>SUM(F49:F53)</f>
        <v>4162.0490650233742</v>
      </c>
      <c r="G48" s="512">
        <f>SUM(G49:G53)</f>
        <v>2304.9509349766258</v>
      </c>
      <c r="H48" s="506">
        <f>G48/$G$62</f>
        <v>1.7249312660708262E-2</v>
      </c>
      <c r="I48"/>
      <c r="J48"/>
      <c r="K48"/>
      <c r="L48"/>
      <c r="M48"/>
      <c r="N48"/>
      <c r="O48"/>
      <c r="P48"/>
      <c r="Q48"/>
      <c r="R48"/>
    </row>
    <row r="49" spans="1:18" ht="22" hidden="1" outlineLevel="1" x14ac:dyDescent="0.35">
      <c r="A49" s="639" t="s">
        <v>296</v>
      </c>
      <c r="B49" s="682" t="s">
        <v>498</v>
      </c>
      <c r="C49" s="674"/>
      <c r="D49" s="701">
        <f>E49/12</f>
        <v>47.25</v>
      </c>
      <c r="E49" s="674">
        <f>13.5*6*7</f>
        <v>567</v>
      </c>
      <c r="F49" s="509">
        <f>E49*Eeldused25!$C$38</f>
        <v>364.91136846578831</v>
      </c>
      <c r="G49" s="509">
        <f>E49*Eeldused25!$D$38</f>
        <v>202.08863153421166</v>
      </c>
      <c r="H49" s="506">
        <f>G49/$G$62</f>
        <v>1.512348891081117E-3</v>
      </c>
      <c r="I49"/>
      <c r="J49"/>
      <c r="K49"/>
      <c r="L49"/>
      <c r="M49"/>
      <c r="N49"/>
      <c r="O49"/>
      <c r="P49"/>
      <c r="Q49"/>
      <c r="R49"/>
    </row>
    <row r="50" spans="1:18" ht="22" hidden="1" outlineLevel="1" x14ac:dyDescent="0.35">
      <c r="A50" s="639" t="s">
        <v>297</v>
      </c>
      <c r="B50" s="682" t="s">
        <v>497</v>
      </c>
      <c r="C50" s="674">
        <v>300</v>
      </c>
      <c r="D50" s="701">
        <f>E50/12</f>
        <v>75</v>
      </c>
      <c r="E50" s="674">
        <f>C50*3</f>
        <v>900</v>
      </c>
      <c r="F50" s="509">
        <f>E50*Eeldused25!$C$38</f>
        <v>579.22439439014022</v>
      </c>
      <c r="G50" s="509">
        <f>E50*Eeldused25!$D$38</f>
        <v>320.77560560985978</v>
      </c>
      <c r="H50" s="506">
        <f>G50/$G$62</f>
        <v>2.4005537953668528E-3</v>
      </c>
      <c r="I50"/>
      <c r="J50"/>
      <c r="K50"/>
      <c r="L50"/>
      <c r="M50"/>
      <c r="N50"/>
      <c r="O50"/>
      <c r="P50"/>
      <c r="Q50"/>
      <c r="R50"/>
    </row>
    <row r="51" spans="1:18" hidden="1" outlineLevel="1" x14ac:dyDescent="0.35">
      <c r="A51" s="639" t="s">
        <v>298</v>
      </c>
      <c r="B51" s="640"/>
      <c r="C51" s="674"/>
      <c r="D51" s="701">
        <f>E51/12</f>
        <v>83.333333333333329</v>
      </c>
      <c r="E51" s="674">
        <v>1000</v>
      </c>
      <c r="F51" s="509">
        <f>E51*Eeldused25!$C$38</f>
        <v>643.58266043348908</v>
      </c>
      <c r="G51" s="509">
        <f>E51*Eeldused25!$D$38</f>
        <v>356.41733956651086</v>
      </c>
      <c r="H51" s="506">
        <f>G51/$G$62</f>
        <v>2.6672819948520585E-3</v>
      </c>
      <c r="I51"/>
      <c r="J51"/>
      <c r="K51" s="492"/>
      <c r="L51"/>
      <c r="M51"/>
      <c r="N51"/>
      <c r="O51"/>
      <c r="P51"/>
      <c r="Q51"/>
      <c r="R51"/>
    </row>
    <row r="52" spans="1:18" hidden="1" outlineLevel="1" x14ac:dyDescent="0.35">
      <c r="A52" s="639" t="s">
        <v>299</v>
      </c>
      <c r="B52" s="640"/>
      <c r="C52" s="674"/>
      <c r="D52" s="701">
        <f>E52/12</f>
        <v>333.33333333333331</v>
      </c>
      <c r="E52" s="674">
        <f>2000*2</f>
        <v>4000</v>
      </c>
      <c r="F52" s="509">
        <f>E52*Eeldused25!$C$38</f>
        <v>2574.3306417339563</v>
      </c>
      <c r="G52" s="509">
        <f>E52*Eeldused25!$D$38</f>
        <v>1425.6693582660434</v>
      </c>
      <c r="H52" s="506">
        <f>G52/$G$62</f>
        <v>1.0669127979408234E-2</v>
      </c>
      <c r="I52"/>
      <c r="J52"/>
      <c r="K52"/>
      <c r="L52"/>
      <c r="M52"/>
      <c r="N52"/>
      <c r="O52"/>
      <c r="P52"/>
      <c r="Q52"/>
      <c r="R52"/>
    </row>
    <row r="53" spans="1:18" hidden="1" outlineLevel="1" x14ac:dyDescent="0.35">
      <c r="A53" s="639"/>
      <c r="B53" s="640"/>
      <c r="C53" s="674"/>
      <c r="D53" s="674"/>
      <c r="E53" s="674"/>
      <c r="F53" s="509"/>
      <c r="G53" s="509"/>
      <c r="H53" s="506"/>
      <c r="I53"/>
      <c r="J53"/>
      <c r="K53"/>
      <c r="L53"/>
      <c r="M53"/>
      <c r="N53"/>
      <c r="O53"/>
      <c r="P53"/>
      <c r="Q53"/>
      <c r="R53"/>
    </row>
    <row r="54" spans="1:18" collapsed="1" x14ac:dyDescent="0.35">
      <c r="A54" s="640" t="s">
        <v>404</v>
      </c>
      <c r="B54" s="640"/>
      <c r="C54" s="674"/>
      <c r="D54" s="674">
        <v>400</v>
      </c>
      <c r="E54" s="674">
        <f>D54*12</f>
        <v>4800</v>
      </c>
      <c r="F54" s="509">
        <f>E54*Eeldused25!$C$38</f>
        <v>3089.1967700807477</v>
      </c>
      <c r="G54" s="509">
        <f>E54*Eeldused25!$D$38</f>
        <v>1710.8032299192521</v>
      </c>
      <c r="H54" s="506">
        <f t="shared" ref="H54:H59" si="4">G54/$G$62</f>
        <v>1.2802953575289881E-2</v>
      </c>
      <c r="I54"/>
      <c r="J54"/>
      <c r="K54"/>
      <c r="L54"/>
      <c r="M54"/>
      <c r="N54"/>
      <c r="O54"/>
      <c r="P54"/>
      <c r="Q54"/>
      <c r="R54"/>
    </row>
    <row r="55" spans="1:18" ht="30.75" customHeight="1" x14ac:dyDescent="0.35">
      <c r="A55" s="640" t="s">
        <v>405</v>
      </c>
      <c r="B55" s="640" t="s">
        <v>483</v>
      </c>
      <c r="C55" s="685">
        <v>1E-3</v>
      </c>
      <c r="D55" s="674">
        <f>E55/12</f>
        <v>272.66666666666669</v>
      </c>
      <c r="E55" s="674">
        <f>C55*'1. Projekti elluviimise kulud'!J19</f>
        <v>3272</v>
      </c>
      <c r="F55" s="513"/>
      <c r="G55" s="512">
        <f>E55</f>
        <v>3272</v>
      </c>
      <c r="H55" s="506">
        <f t="shared" si="4"/>
        <v>2.4486313426194378E-2</v>
      </c>
      <c r="I55"/>
      <c r="J55"/>
      <c r="K55"/>
      <c r="L55"/>
      <c r="M55"/>
      <c r="N55"/>
      <c r="O55"/>
      <c r="P55"/>
      <c r="Q55"/>
      <c r="R55"/>
    </row>
    <row r="56" spans="1:18" x14ac:dyDescent="0.35">
      <c r="A56" s="640" t="s">
        <v>406</v>
      </c>
      <c r="B56" s="640"/>
      <c r="C56" s="674"/>
      <c r="D56" s="674">
        <f>E56/12</f>
        <v>355</v>
      </c>
      <c r="E56" s="674">
        <f>SUM(E57:E61)</f>
        <v>4260</v>
      </c>
      <c r="F56" s="515">
        <f>SUM(F57:F61)</f>
        <v>1544.5983850403738</v>
      </c>
      <c r="G56" s="512">
        <f>SUM(G57:G61)</f>
        <v>2715.4016149596259</v>
      </c>
      <c r="H56" s="506">
        <f t="shared" si="4"/>
        <v>2.0320958136276216E-2</v>
      </c>
      <c r="I56"/>
      <c r="J56"/>
      <c r="K56"/>
      <c r="L56"/>
      <c r="M56"/>
      <c r="N56"/>
      <c r="O56"/>
      <c r="P56"/>
      <c r="Q56"/>
      <c r="R56"/>
    </row>
    <row r="57" spans="1:18" ht="29" hidden="1" outlineLevel="1" x14ac:dyDescent="0.35">
      <c r="A57" s="639" t="s">
        <v>300</v>
      </c>
      <c r="B57" s="640"/>
      <c r="C57" s="674"/>
      <c r="D57" s="674">
        <v>55</v>
      </c>
      <c r="E57" s="674">
        <f>D57*12</f>
        <v>660</v>
      </c>
      <c r="F57" s="513"/>
      <c r="G57" s="512">
        <f>E57</f>
        <v>660</v>
      </c>
      <c r="H57" s="506">
        <f t="shared" si="4"/>
        <v>4.9391708011272276E-3</v>
      </c>
      <c r="I57"/>
      <c r="J57"/>
      <c r="K57"/>
      <c r="L57"/>
      <c r="M57"/>
      <c r="N57"/>
      <c r="O57"/>
      <c r="P57"/>
      <c r="Q57"/>
      <c r="R57"/>
    </row>
    <row r="58" spans="1:18" hidden="1" outlineLevel="1" x14ac:dyDescent="0.35">
      <c r="A58" s="639" t="s">
        <v>301</v>
      </c>
      <c r="B58" s="640"/>
      <c r="C58" s="674"/>
      <c r="D58" s="701">
        <v>200</v>
      </c>
      <c r="E58" s="674">
        <f>D58*12</f>
        <v>2400</v>
      </c>
      <c r="F58" s="509">
        <f>E58*Eeldused25!$C$38</f>
        <v>1544.5983850403738</v>
      </c>
      <c r="G58" s="509">
        <f>E58*Eeldused25!$D$38</f>
        <v>855.40161495962604</v>
      </c>
      <c r="H58" s="506">
        <f t="shared" si="4"/>
        <v>6.4014767876449403E-3</v>
      </c>
      <c r="I58"/>
      <c r="J58"/>
      <c r="K58"/>
      <c r="L58"/>
      <c r="M58"/>
      <c r="N58"/>
      <c r="O58"/>
      <c r="P58"/>
      <c r="Q58"/>
      <c r="R58"/>
    </row>
    <row r="59" spans="1:18" hidden="1" outlineLevel="1" x14ac:dyDescent="0.35">
      <c r="A59" s="639" t="s">
        <v>284</v>
      </c>
      <c r="B59" s="640"/>
      <c r="C59" s="674"/>
      <c r="D59" s="701">
        <v>100</v>
      </c>
      <c r="E59" s="674">
        <f>D59*12</f>
        <v>1200</v>
      </c>
      <c r="F59" s="509"/>
      <c r="G59" s="510">
        <f>E59</f>
        <v>1200</v>
      </c>
      <c r="H59" s="506">
        <f t="shared" si="4"/>
        <v>8.9803105475040508E-3</v>
      </c>
      <c r="I59"/>
      <c r="J59"/>
      <c r="K59"/>
      <c r="L59"/>
      <c r="M59"/>
      <c r="N59"/>
      <c r="O59"/>
      <c r="P59"/>
      <c r="Q59"/>
      <c r="R59"/>
    </row>
    <row r="60" spans="1:18" hidden="1" outlineLevel="1" x14ac:dyDescent="0.35">
      <c r="A60" s="639"/>
      <c r="B60" s="640"/>
      <c r="C60" s="674"/>
      <c r="D60" s="674"/>
      <c r="E60" s="674"/>
      <c r="F60" s="510"/>
      <c r="G60" s="510"/>
      <c r="H60" s="490">
        <f>G60/$G$71</f>
        <v>0</v>
      </c>
      <c r="I60"/>
      <c r="J60"/>
      <c r="K60"/>
      <c r="L60"/>
      <c r="M60"/>
      <c r="N60"/>
      <c r="O60"/>
      <c r="P60"/>
      <c r="Q60"/>
      <c r="R60"/>
    </row>
    <row r="61" spans="1:18" collapsed="1" x14ac:dyDescent="0.35">
      <c r="A61" s="639"/>
      <c r="B61" s="640"/>
      <c r="C61" s="674"/>
      <c r="D61" s="674"/>
      <c r="E61" s="674"/>
      <c r="F61" s="510"/>
      <c r="G61" s="510"/>
      <c r="H61" s="490"/>
      <c r="I61"/>
      <c r="J61"/>
      <c r="K61"/>
      <c r="L61"/>
      <c r="M61"/>
      <c r="N61"/>
      <c r="O61"/>
      <c r="P61"/>
      <c r="Q61"/>
      <c r="R61"/>
    </row>
    <row r="62" spans="1:18" x14ac:dyDescent="0.35">
      <c r="A62" s="686" t="s">
        <v>350</v>
      </c>
      <c r="B62" s="640"/>
      <c r="C62" s="674"/>
      <c r="D62" s="687">
        <f>E62/12</f>
        <v>12783.410926166667</v>
      </c>
      <c r="E62" s="687">
        <f>E4+E25+E29+E31+E56+E36+E43+E48+E54+E55</f>
        <v>153400.93111400001</v>
      </c>
      <c r="F62" s="516">
        <f>F4+F25+F29+F31+F56+F36+F43+F48+F54+F55</f>
        <v>19775.262641597012</v>
      </c>
      <c r="G62" s="516">
        <f>G4+G25+G29+G31+G56+G36+G43+G48+G54+G55</f>
        <v>133625.66847240299</v>
      </c>
      <c r="H62" s="506"/>
      <c r="I62"/>
      <c r="J62"/>
      <c r="K62" s="497"/>
      <c r="L62"/>
      <c r="M62"/>
      <c r="N62"/>
      <c r="O62"/>
      <c r="P62"/>
      <c r="Q62"/>
      <c r="R62"/>
    </row>
    <row r="63" spans="1:18" x14ac:dyDescent="0.35">
      <c r="A63" s="686"/>
      <c r="B63" s="640"/>
      <c r="C63" s="674"/>
      <c r="D63" s="674"/>
      <c r="E63" s="687"/>
      <c r="F63" s="510"/>
      <c r="G63" s="510"/>
      <c r="H63" s="506"/>
      <c r="I63"/>
      <c r="J63"/>
      <c r="K63"/>
      <c r="L63"/>
      <c r="M63"/>
      <c r="N63"/>
      <c r="O63"/>
      <c r="P63"/>
      <c r="Q63"/>
      <c r="R63"/>
    </row>
    <row r="64" spans="1:18" x14ac:dyDescent="0.35">
      <c r="A64" s="673" t="s">
        <v>407</v>
      </c>
      <c r="B64" s="640"/>
      <c r="C64" s="674"/>
      <c r="D64" s="603"/>
      <c r="E64" s="603"/>
      <c r="F64" s="488"/>
      <c r="G64" s="512"/>
      <c r="H64" s="506"/>
      <c r="I64"/>
      <c r="J64"/>
      <c r="K64"/>
      <c r="L64"/>
      <c r="M64"/>
      <c r="N64"/>
      <c r="O64"/>
      <c r="P64"/>
      <c r="Q64"/>
      <c r="R64"/>
    </row>
    <row r="65" spans="1:18" x14ac:dyDescent="0.35">
      <c r="A65" s="639" t="s">
        <v>328</v>
      </c>
      <c r="B65" s="640"/>
      <c r="C65" s="688"/>
      <c r="D65" s="674">
        <f>E65/12</f>
        <v>10500</v>
      </c>
      <c r="E65" s="674">
        <f>('1. Projekti elluviimise kulud'!J8+'1. Projekti elluviimise kulud'!J10+'1. Projekti elluviimise kulud'!J6)/'1. Projekti elluviimise kulud'!L8</f>
        <v>126000</v>
      </c>
      <c r="F65" s="488"/>
      <c r="G65" s="512">
        <f>E65</f>
        <v>126000</v>
      </c>
      <c r="H65" s="506"/>
      <c r="I65"/>
      <c r="J65"/>
      <c r="K65"/>
      <c r="L65"/>
      <c r="M65"/>
      <c r="N65"/>
      <c r="O65"/>
      <c r="P65"/>
      <c r="Q65"/>
      <c r="R65"/>
    </row>
    <row r="66" spans="1:18" x14ac:dyDescent="0.35">
      <c r="A66" s="639" t="s">
        <v>329</v>
      </c>
      <c r="B66" s="640"/>
      <c r="C66" s="688"/>
      <c r="D66" s="674">
        <f>E66/12</f>
        <v>769.23076923076917</v>
      </c>
      <c r="E66" s="674">
        <f>'1. Projekti elluviimise kulud'!J9/'1. Projekti elluviimise kulud'!L9</f>
        <v>9230.7692307692305</v>
      </c>
      <c r="F66" s="488"/>
      <c r="G66" s="512">
        <f>E66</f>
        <v>9230.7692307692305</v>
      </c>
      <c r="H66" s="506"/>
      <c r="I66"/>
      <c r="J66"/>
      <c r="K66"/>
      <c r="L66"/>
      <c r="M66"/>
      <c r="N66"/>
      <c r="O66"/>
      <c r="P66"/>
      <c r="Q66"/>
      <c r="R66"/>
    </row>
    <row r="67" spans="1:18" ht="30.75" hidden="1" customHeight="1" x14ac:dyDescent="0.35">
      <c r="A67" s="639"/>
      <c r="B67" s="640"/>
      <c r="C67" s="688"/>
      <c r="D67" s="674"/>
      <c r="E67" s="674"/>
      <c r="F67" s="488"/>
      <c r="G67" s="512">
        <f>E67</f>
        <v>0</v>
      </c>
      <c r="H67" s="506"/>
      <c r="I67"/>
      <c r="J67"/>
      <c r="K67"/>
      <c r="L67"/>
      <c r="M67"/>
      <c r="N67"/>
      <c r="O67"/>
      <c r="P67"/>
      <c r="Q67"/>
      <c r="R67"/>
    </row>
    <row r="68" spans="1:18" ht="31.5" hidden="1" customHeight="1" x14ac:dyDescent="0.35">
      <c r="A68" s="639"/>
      <c r="B68" s="640"/>
      <c r="C68" s="688"/>
      <c r="D68" s="674"/>
      <c r="E68" s="674"/>
      <c r="F68" s="488"/>
      <c r="G68" s="512">
        <f>E68</f>
        <v>0</v>
      </c>
      <c r="H68" s="506"/>
      <c r="I68"/>
      <c r="J68"/>
      <c r="K68"/>
      <c r="L68"/>
      <c r="M68"/>
      <c r="N68"/>
      <c r="O68"/>
      <c r="P68"/>
      <c r="Q68"/>
      <c r="R68"/>
    </row>
    <row r="69" spans="1:18" x14ac:dyDescent="0.35">
      <c r="A69" s="686" t="s">
        <v>484</v>
      </c>
      <c r="B69" s="600"/>
      <c r="C69" s="615"/>
      <c r="D69" s="687">
        <f>SUM(D65:D68)</f>
        <v>11269.23076923077</v>
      </c>
      <c r="E69" s="687">
        <f>SUM(E65:E68)</f>
        <v>135230.76923076922</v>
      </c>
      <c r="F69" s="516">
        <f>SUM(F65:F68)</f>
        <v>0</v>
      </c>
      <c r="G69" s="516">
        <f>SUM(G65:G68)</f>
        <v>135230.76923076922</v>
      </c>
      <c r="H69"/>
      <c r="I69"/>
      <c r="J69"/>
      <c r="K69"/>
      <c r="L69"/>
      <c r="M69"/>
      <c r="N69"/>
      <c r="O69"/>
      <c r="P69"/>
      <c r="Q69"/>
      <c r="R69"/>
    </row>
    <row r="70" spans="1:18" x14ac:dyDescent="0.35">
      <c r="A70" s="686"/>
      <c r="B70" s="600"/>
      <c r="C70" s="615"/>
      <c r="D70" s="674"/>
      <c r="E70" s="674"/>
      <c r="F70" s="488"/>
      <c r="G70" s="488"/>
      <c r="H70"/>
      <c r="I70"/>
      <c r="J70"/>
      <c r="K70"/>
      <c r="L70"/>
      <c r="M70"/>
      <c r="N70"/>
      <c r="O70"/>
      <c r="P70"/>
      <c r="Q70"/>
      <c r="R70"/>
    </row>
    <row r="71" spans="1:18" x14ac:dyDescent="0.35">
      <c r="A71" s="672" t="s">
        <v>65</v>
      </c>
      <c r="B71" s="666"/>
      <c r="C71" s="666"/>
      <c r="D71" s="667">
        <f>E71/12</f>
        <v>24052.641695397437</v>
      </c>
      <c r="E71" s="667">
        <f>E62+E69</f>
        <v>288631.70034476923</v>
      </c>
      <c r="F71" s="500">
        <f>F62+F69</f>
        <v>19775.262641597012</v>
      </c>
      <c r="G71" s="500">
        <f>G62+G69</f>
        <v>268856.43770317221</v>
      </c>
      <c r="H71"/>
      <c r="I71"/>
      <c r="J71"/>
      <c r="K71"/>
      <c r="L71"/>
      <c r="M71"/>
      <c r="N71"/>
      <c r="O71"/>
      <c r="P71"/>
      <c r="Q71"/>
      <c r="R71"/>
    </row>
    <row r="72" spans="1:18" x14ac:dyDescent="0.35">
      <c r="A72" s="517"/>
      <c r="B72" s="518"/>
      <c r="C72" s="518"/>
      <c r="D72" s="519"/>
      <c r="E72" s="519"/>
      <c r="F72" s="519"/>
      <c r="G72" s="519"/>
      <c r="H72"/>
      <c r="I72"/>
      <c r="J72"/>
      <c r="K72"/>
      <c r="L72"/>
      <c r="M72"/>
      <c r="N72"/>
      <c r="O72"/>
      <c r="P72"/>
      <c r="Q72"/>
      <c r="R72"/>
    </row>
    <row r="73" spans="1:18" x14ac:dyDescent="0.35">
      <c r="A73" s="713"/>
      <c r="B73" s="714"/>
      <c r="C73" s="714"/>
      <c r="D73" s="715"/>
      <c r="E73" s="715"/>
      <c r="F73" s="715"/>
      <c r="G73" s="715"/>
    </row>
    <row r="74" spans="1:18" x14ac:dyDescent="0.35">
      <c r="E74" s="716"/>
      <c r="G74" s="716"/>
    </row>
    <row r="75" spans="1:18" x14ac:dyDescent="0.35">
      <c r="E75" s="717"/>
      <c r="G75" s="717"/>
    </row>
    <row r="77" spans="1:18" x14ac:dyDescent="0.35">
      <c r="E77" s="718"/>
    </row>
  </sheetData>
  <conditionalFormatting sqref="H2:H73">
    <cfRule type="cellIs" dxfId="3" priority="1" operator="equal">
      <formula>0</formula>
    </cfRule>
  </conditionalFormatting>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52"/>
  <sheetViews>
    <sheetView workbookViewId="0">
      <selection activeCell="F16" sqref="F16"/>
    </sheetView>
  </sheetViews>
  <sheetFormatPr defaultColWidth="9.1796875" defaultRowHeight="14.5" outlineLevelCol="2" x14ac:dyDescent="0.35"/>
  <cols>
    <col min="1" max="1" width="33.54296875" style="711" customWidth="1"/>
    <col min="2" max="2" width="17.26953125" style="711" customWidth="1"/>
    <col min="3" max="3" width="15.54296875" style="711" customWidth="1"/>
    <col min="4" max="4" width="20" style="711" customWidth="1"/>
    <col min="5" max="5" width="10.453125" style="711" customWidth="1"/>
    <col min="6" max="6" width="15.453125" style="711" customWidth="1"/>
    <col min="7" max="7" width="12.26953125" style="711" customWidth="1"/>
    <col min="8" max="8" width="12.54296875" style="711" customWidth="1"/>
    <col min="9" max="9" width="11.7265625" style="711" customWidth="1"/>
    <col min="10" max="10" width="11.7265625" style="711" hidden="1" customWidth="1"/>
    <col min="11" max="11" width="9.1796875" style="711" hidden="1" customWidth="1"/>
    <col min="12" max="12" width="9.1796875" style="711" customWidth="1"/>
    <col min="13" max="13" width="10.54296875" style="711" hidden="1" customWidth="1" outlineLevel="1"/>
    <col min="14" max="15" width="9.1796875" style="711" hidden="1" customWidth="1" outlineLevel="1"/>
    <col min="16" max="19" width="0" style="711" hidden="1" customWidth="1" outlineLevel="2"/>
    <col min="20" max="20" width="9.1796875" style="711" collapsed="1"/>
    <col min="21" max="16384" width="9.1796875" style="711"/>
  </cols>
  <sheetData>
    <row r="1" spans="1:20" x14ac:dyDescent="0.35">
      <c r="A1" s="635" t="s">
        <v>32</v>
      </c>
      <c r="B1" s="603"/>
      <c r="C1" s="603"/>
      <c r="D1" s="603"/>
      <c r="E1" s="655"/>
      <c r="F1" s="603"/>
      <c r="G1" s="655"/>
      <c r="H1" s="655"/>
      <c r="I1" s="605"/>
      <c r="J1"/>
      <c r="K1"/>
      <c r="L1"/>
      <c r="M1"/>
      <c r="N1"/>
      <c r="O1"/>
      <c r="P1"/>
      <c r="Q1"/>
    </row>
    <row r="2" spans="1:20" x14ac:dyDescent="0.35">
      <c r="A2" s="603"/>
      <c r="B2" s="603"/>
      <c r="C2" s="603"/>
      <c r="D2" s="603"/>
      <c r="E2" s="603"/>
      <c r="F2" s="603"/>
      <c r="G2" s="603"/>
      <c r="H2" s="603"/>
      <c r="I2" s="603"/>
      <c r="J2"/>
      <c r="K2"/>
      <c r="L2"/>
      <c r="M2"/>
      <c r="N2"/>
      <c r="O2"/>
      <c r="P2"/>
      <c r="Q2"/>
    </row>
    <row r="3" spans="1:20" x14ac:dyDescent="0.35">
      <c r="A3" s="635" t="s">
        <v>394</v>
      </c>
      <c r="B3" s="603"/>
      <c r="C3" s="603"/>
      <c r="D3" s="603"/>
      <c r="E3" s="603"/>
      <c r="F3" s="603"/>
      <c r="G3" s="603"/>
      <c r="H3" s="603"/>
      <c r="I3" s="603"/>
      <c r="J3"/>
      <c r="K3"/>
      <c r="L3"/>
      <c r="M3"/>
      <c r="N3"/>
      <c r="O3"/>
      <c r="P3"/>
      <c r="Q3"/>
    </row>
    <row r="4" spans="1:20" x14ac:dyDescent="0.35">
      <c r="A4" s="603"/>
      <c r="B4" s="603"/>
      <c r="C4" s="603"/>
      <c r="D4" s="603"/>
      <c r="E4" s="603"/>
      <c r="F4" s="603"/>
      <c r="G4" s="603"/>
      <c r="H4" s="603"/>
      <c r="I4" s="603"/>
      <c r="J4"/>
      <c r="K4"/>
      <c r="L4"/>
      <c r="M4"/>
      <c r="N4"/>
      <c r="O4"/>
      <c r="P4"/>
      <c r="Q4"/>
    </row>
    <row r="5" spans="1:20" ht="30" customHeight="1" x14ac:dyDescent="0.35">
      <c r="A5" s="656" t="s">
        <v>281</v>
      </c>
      <c r="B5" s="656" t="s">
        <v>454</v>
      </c>
      <c r="C5" s="656" t="s">
        <v>455</v>
      </c>
      <c r="D5" s="656" t="s">
        <v>467</v>
      </c>
      <c r="E5" s="656" t="s">
        <v>0</v>
      </c>
      <c r="F5" s="657" t="s">
        <v>468</v>
      </c>
      <c r="G5" s="656" t="s">
        <v>469</v>
      </c>
      <c r="H5" s="656" t="s">
        <v>470</v>
      </c>
      <c r="I5" s="656" t="s">
        <v>471</v>
      </c>
      <c r="J5"/>
      <c r="K5"/>
      <c r="L5"/>
      <c r="M5" s="724" t="s">
        <v>507</v>
      </c>
      <c r="N5" s="724" t="s">
        <v>508</v>
      </c>
      <c r="O5" s="724" t="s">
        <v>509</v>
      </c>
      <c r="P5"/>
      <c r="Q5"/>
    </row>
    <row r="6" spans="1:20" x14ac:dyDescent="0.35">
      <c r="A6" s="658" t="s">
        <v>279</v>
      </c>
      <c r="B6" s="600"/>
      <c r="C6" s="600"/>
      <c r="D6" s="600"/>
      <c r="E6" s="600"/>
      <c r="F6" s="600"/>
      <c r="G6" s="600"/>
      <c r="H6" s="600"/>
      <c r="I6" s="600"/>
      <c r="J6"/>
      <c r="K6"/>
      <c r="L6"/>
      <c r="M6" s="488"/>
      <c r="N6" s="488"/>
      <c r="O6" s="488"/>
      <c r="P6"/>
      <c r="Q6"/>
    </row>
    <row r="7" spans="1:20" x14ac:dyDescent="0.35">
      <c r="A7" s="629" t="str">
        <f>Ruumid!A5</f>
        <v>1 korrus</v>
      </c>
      <c r="B7" s="631">
        <f>Ruumid!C5</f>
        <v>292.5</v>
      </c>
      <c r="C7" s="631">
        <f>Ruumid!D5</f>
        <v>292.5</v>
      </c>
      <c r="D7" s="659"/>
      <c r="E7" s="659"/>
      <c r="F7" s="659"/>
      <c r="G7" s="660"/>
      <c r="H7" s="660"/>
      <c r="I7" s="660"/>
      <c r="J7"/>
      <c r="K7"/>
      <c r="L7"/>
      <c r="M7" s="488"/>
      <c r="N7" s="488"/>
      <c r="O7" s="488"/>
      <c r="P7"/>
      <c r="Q7"/>
      <c r="T7" s="728"/>
    </row>
    <row r="8" spans="1:20" x14ac:dyDescent="0.35">
      <c r="A8" s="600" t="str">
        <f>Ruumid!A6</f>
        <v>Kohvik</v>
      </c>
      <c r="B8" s="600">
        <f>Ruumid!C6</f>
        <v>132.5</v>
      </c>
      <c r="C8" s="600">
        <f>Ruumid!D6</f>
        <v>132.5</v>
      </c>
      <c r="D8" s="645" t="s">
        <v>472</v>
      </c>
      <c r="E8" s="600">
        <v>5</v>
      </c>
      <c r="F8" s="661">
        <v>1</v>
      </c>
      <c r="G8" s="615">
        <f>C8*E8*F8</f>
        <v>662.5</v>
      </c>
      <c r="H8" s="615">
        <f>G8*12</f>
        <v>7950</v>
      </c>
      <c r="I8" s="616">
        <f>H8/$H$33</f>
        <v>8.8043084630999802E-2</v>
      </c>
      <c r="J8"/>
      <c r="K8" t="s">
        <v>269</v>
      </c>
      <c r="L8"/>
      <c r="M8" s="488">
        <f>B8</f>
        <v>132.5</v>
      </c>
      <c r="N8" s="488">
        <f>B8*F8</f>
        <v>132.5</v>
      </c>
      <c r="O8" s="488">
        <f>M8-N8</f>
        <v>0</v>
      </c>
      <c r="P8"/>
      <c r="Q8"/>
      <c r="T8" s="728"/>
    </row>
    <row r="9" spans="1:20" hidden="1" x14ac:dyDescent="0.35">
      <c r="A9" s="600" t="str">
        <f>Ruumid!A7</f>
        <v>Seminariruumid</v>
      </c>
      <c r="B9" s="600">
        <f>Ruumid!C7</f>
        <v>72.7</v>
      </c>
      <c r="C9" s="600">
        <f>Ruumid!D7</f>
        <v>72.7</v>
      </c>
      <c r="D9" s="645" t="s">
        <v>282</v>
      </c>
      <c r="E9" s="600">
        <v>240</v>
      </c>
      <c r="F9" s="710"/>
      <c r="G9" s="615">
        <f>21*E9*F9</f>
        <v>0</v>
      </c>
      <c r="H9" s="615">
        <f>G9*12</f>
        <v>0</v>
      </c>
      <c r="I9" s="616">
        <f>H9/$H$33</f>
        <v>0</v>
      </c>
      <c r="J9"/>
      <c r="K9" t="s">
        <v>271</v>
      </c>
      <c r="L9"/>
      <c r="M9" s="488">
        <f>B9</f>
        <v>72.7</v>
      </c>
      <c r="N9" s="488">
        <f>B9*F9</f>
        <v>0</v>
      </c>
      <c r="O9" s="488">
        <f>M9-N9</f>
        <v>72.7</v>
      </c>
      <c r="P9"/>
      <c r="Q9"/>
    </row>
    <row r="10" spans="1:20" x14ac:dyDescent="0.35">
      <c r="A10" s="629" t="str">
        <f>Ruumid!A10</f>
        <v>2 korrus</v>
      </c>
      <c r="B10" s="631">
        <f>Ruumid!C10</f>
        <v>300.2</v>
      </c>
      <c r="C10" s="631">
        <f>Ruumid!D10</f>
        <v>300.2</v>
      </c>
      <c r="D10" s="659"/>
      <c r="E10" s="659"/>
      <c r="F10" s="659"/>
      <c r="G10" s="660"/>
      <c r="H10" s="660"/>
      <c r="I10" s="660"/>
      <c r="J10"/>
      <c r="K10"/>
      <c r="L10"/>
      <c r="M10" s="488"/>
      <c r="N10" s="488"/>
      <c r="O10" s="488"/>
      <c r="P10"/>
      <c r="Q10"/>
      <c r="T10" s="728"/>
    </row>
    <row r="11" spans="1:20" x14ac:dyDescent="0.35">
      <c r="A11" s="600" t="str">
        <f>Ruumid!A11</f>
        <v>Üüriruumid</v>
      </c>
      <c r="B11" s="600">
        <f>Ruumid!C11</f>
        <v>273.39999999999998</v>
      </c>
      <c r="C11" s="600">
        <f>Ruumid!D11</f>
        <v>273.39999999999998</v>
      </c>
      <c r="D11" s="645" t="s">
        <v>472</v>
      </c>
      <c r="E11" s="600">
        <v>7</v>
      </c>
      <c r="F11" s="661">
        <v>1</v>
      </c>
      <c r="G11" s="615">
        <f>C11*E11*F11</f>
        <v>1913.7999999999997</v>
      </c>
      <c r="H11" s="615">
        <f>G11*12</f>
        <v>22965.599999999999</v>
      </c>
      <c r="I11" s="616">
        <f>H11/$H$33</f>
        <v>0.25433487602536969</v>
      </c>
      <c r="J11"/>
      <c r="K11" t="s">
        <v>269</v>
      </c>
      <c r="L11"/>
      <c r="M11" s="488">
        <f>B11</f>
        <v>273.39999999999998</v>
      </c>
      <c r="N11" s="488">
        <f>B11*F11</f>
        <v>273.39999999999998</v>
      </c>
      <c r="O11" s="488">
        <f>M11-N11</f>
        <v>0</v>
      </c>
      <c r="P11"/>
      <c r="Q11"/>
      <c r="T11" s="728"/>
    </row>
    <row r="12" spans="1:20" x14ac:dyDescent="0.35">
      <c r="A12" s="629" t="str">
        <f>Ruumid!A14</f>
        <v>3 korrus</v>
      </c>
      <c r="B12" s="629">
        <f>Ruumid!C14</f>
        <v>304.20000000000005</v>
      </c>
      <c r="C12" s="631">
        <f>Ruumid!D14</f>
        <v>304.2</v>
      </c>
      <c r="D12" s="659"/>
      <c r="E12" s="659"/>
      <c r="F12" s="659"/>
      <c r="G12" s="660"/>
      <c r="H12" s="660"/>
      <c r="I12" s="660"/>
      <c r="J12"/>
      <c r="K12"/>
      <c r="L12"/>
      <c r="M12" s="488"/>
      <c r="N12" s="488"/>
      <c r="O12" s="488"/>
      <c r="P12"/>
      <c r="Q12"/>
      <c r="T12" s="728"/>
    </row>
    <row r="13" spans="1:20" x14ac:dyDescent="0.35">
      <c r="A13" s="600" t="str">
        <f>Ruumid!A15</f>
        <v>Üürikabinetid</v>
      </c>
      <c r="B13" s="600">
        <f>Ruumid!C15</f>
        <v>105.6</v>
      </c>
      <c r="C13" s="600">
        <f>Ruumid!D15</f>
        <v>105.6</v>
      </c>
      <c r="D13" s="645" t="s">
        <v>472</v>
      </c>
      <c r="E13" s="600">
        <v>15</v>
      </c>
      <c r="F13" s="661">
        <v>0.25</v>
      </c>
      <c r="G13" s="615">
        <f>C13*E13*F13</f>
        <v>396</v>
      </c>
      <c r="H13" s="615">
        <f t="shared" ref="H13:H14" si="0">G13*12</f>
        <v>4752</v>
      </c>
      <c r="I13" s="616">
        <f t="shared" ref="I13:I14" si="1">H13/$H$33</f>
        <v>5.2626507945473092E-2</v>
      </c>
      <c r="J13"/>
      <c r="K13" t="s">
        <v>271</v>
      </c>
      <c r="L13"/>
      <c r="M13" s="488">
        <f t="shared" ref="M13:M14" si="2">B13</f>
        <v>105.6</v>
      </c>
      <c r="N13" s="488">
        <f t="shared" ref="N13:N14" si="3">B13*F13</f>
        <v>26.4</v>
      </c>
      <c r="O13" s="488">
        <f t="shared" ref="O13:O14" si="4">M13-N13</f>
        <v>79.199999999999989</v>
      </c>
      <c r="P13"/>
      <c r="Q13"/>
      <c r="T13" s="728"/>
    </row>
    <row r="14" spans="1:20" x14ac:dyDescent="0.35">
      <c r="A14" s="600" t="str">
        <f>Ruumid!A18</f>
        <v>Open Office (12 kohta)</v>
      </c>
      <c r="B14" s="600">
        <f>Ruumid!C18</f>
        <v>35.6</v>
      </c>
      <c r="C14" s="600">
        <f>Ruumid!D18</f>
        <v>35.6</v>
      </c>
      <c r="D14" s="600" t="s">
        <v>473</v>
      </c>
      <c r="E14" s="600">
        <v>15</v>
      </c>
      <c r="F14" s="661">
        <v>0.25</v>
      </c>
      <c r="G14" s="615">
        <f>21*E14*F14*12</f>
        <v>945</v>
      </c>
      <c r="H14" s="615">
        <f t="shared" si="0"/>
        <v>11340</v>
      </c>
      <c r="I14" s="616">
        <f t="shared" si="1"/>
        <v>0.12558598486987896</v>
      </c>
      <c r="J14"/>
      <c r="K14" t="s">
        <v>271</v>
      </c>
      <c r="L14"/>
      <c r="M14" s="488">
        <f t="shared" si="2"/>
        <v>35.6</v>
      </c>
      <c r="N14" s="488">
        <f t="shared" si="3"/>
        <v>8.9</v>
      </c>
      <c r="O14" s="488">
        <f t="shared" si="4"/>
        <v>26.700000000000003</v>
      </c>
      <c r="P14"/>
      <c r="Q14">
        <v>12</v>
      </c>
      <c r="R14" s="711">
        <f>Q14*F14</f>
        <v>3</v>
      </c>
      <c r="S14" s="711">
        <f>Q14-R14</f>
        <v>9</v>
      </c>
      <c r="T14" s="728"/>
    </row>
    <row r="15" spans="1:20" x14ac:dyDescent="0.35">
      <c r="A15" s="629" t="str">
        <f>Ruumid!A19</f>
        <v>4 korrus</v>
      </c>
      <c r="B15" s="631">
        <f>Ruumid!C19</f>
        <v>307.8</v>
      </c>
      <c r="C15" s="631">
        <f>Ruumid!D19</f>
        <v>307.8</v>
      </c>
      <c r="D15" s="659"/>
      <c r="E15" s="659"/>
      <c r="F15" s="659"/>
      <c r="G15" s="660"/>
      <c r="H15" s="660"/>
      <c r="I15" s="660"/>
      <c r="J15"/>
      <c r="K15"/>
      <c r="L15"/>
      <c r="M15" s="488"/>
      <c r="N15" s="488"/>
      <c r="O15" s="488"/>
      <c r="P15"/>
      <c r="Q15"/>
      <c r="T15" s="728"/>
    </row>
    <row r="16" spans="1:20" x14ac:dyDescent="0.35">
      <c r="A16" s="600" t="str">
        <f>Ruumid!A20</f>
        <v>Üüriruumid</v>
      </c>
      <c r="B16" s="600">
        <f>Ruumid!C20</f>
        <v>265.60000000000002</v>
      </c>
      <c r="C16" s="600">
        <f>Ruumid!D20</f>
        <v>265.60000000000002</v>
      </c>
      <c r="D16" s="645" t="s">
        <v>472</v>
      </c>
      <c r="E16" s="600">
        <v>7</v>
      </c>
      <c r="F16" s="661">
        <v>1</v>
      </c>
      <c r="G16" s="615">
        <f t="shared" ref="G16:G20" si="5">C16*E16*F16</f>
        <v>1859.2000000000003</v>
      </c>
      <c r="H16" s="615">
        <f t="shared" ref="H16:H17" si="6">G16*12</f>
        <v>22310.400000000001</v>
      </c>
      <c r="I16" s="616">
        <f t="shared" ref="I16:I17" si="7">H16/$H$33</f>
        <v>0.2470787968995545</v>
      </c>
      <c r="J16"/>
      <c r="K16" t="s">
        <v>269</v>
      </c>
      <c r="L16"/>
      <c r="M16" s="488">
        <f t="shared" ref="M16:M17" si="8">B16</f>
        <v>265.60000000000002</v>
      </c>
      <c r="N16" s="488">
        <f>B16*F16</f>
        <v>265.60000000000002</v>
      </c>
      <c r="O16" s="488">
        <f t="shared" ref="O16:O17" si="9">M16-N16</f>
        <v>0</v>
      </c>
      <c r="P16"/>
      <c r="Q16"/>
      <c r="T16" s="728"/>
    </row>
    <row r="17" spans="1:20" x14ac:dyDescent="0.35">
      <c r="A17" s="600" t="str">
        <f>Ruumid!A21</f>
        <v>Üürikabinet</v>
      </c>
      <c r="B17" s="600">
        <f>Ruumid!C21</f>
        <v>15.8</v>
      </c>
      <c r="C17" s="600">
        <f>Ruumid!D21</f>
        <v>15.8</v>
      </c>
      <c r="D17" s="645" t="s">
        <v>472</v>
      </c>
      <c r="E17" s="600">
        <v>7</v>
      </c>
      <c r="F17" s="661">
        <v>1</v>
      </c>
      <c r="G17" s="615">
        <f t="shared" si="5"/>
        <v>110.60000000000001</v>
      </c>
      <c r="H17" s="615">
        <f t="shared" si="6"/>
        <v>1327.2</v>
      </c>
      <c r="I17" s="616">
        <f t="shared" si="7"/>
        <v>1.4698211562548798E-2</v>
      </c>
      <c r="J17"/>
      <c r="K17" t="s">
        <v>269</v>
      </c>
      <c r="L17"/>
      <c r="M17" s="488">
        <f t="shared" si="8"/>
        <v>15.8</v>
      </c>
      <c r="N17" s="488">
        <f>B17*F17</f>
        <v>15.8</v>
      </c>
      <c r="O17" s="488">
        <f t="shared" si="9"/>
        <v>0</v>
      </c>
      <c r="P17"/>
      <c r="Q17"/>
      <c r="T17" s="728"/>
    </row>
    <row r="18" spans="1:20" x14ac:dyDescent="0.35">
      <c r="A18" s="629" t="str">
        <f>Ruumid!A24</f>
        <v>5 korrus</v>
      </c>
      <c r="B18" s="631">
        <f>Ruumid!C24</f>
        <v>301.7</v>
      </c>
      <c r="C18" s="631">
        <f>Ruumid!D24</f>
        <v>301.7</v>
      </c>
      <c r="D18" s="659"/>
      <c r="E18" s="659"/>
      <c r="F18" s="659"/>
      <c r="G18" s="660"/>
      <c r="H18" s="660"/>
      <c r="I18" s="660"/>
      <c r="J18"/>
      <c r="K18"/>
      <c r="L18"/>
      <c r="M18" s="488"/>
      <c r="N18" s="488"/>
      <c r="O18" s="488"/>
      <c r="P18"/>
      <c r="Q18"/>
    </row>
    <row r="19" spans="1:20" x14ac:dyDescent="0.35">
      <c r="A19" s="600" t="str">
        <f>Ruumid!A25</f>
        <v>Üürituba</v>
      </c>
      <c r="B19" s="600">
        <f>Ruumid!C25</f>
        <v>111.9</v>
      </c>
      <c r="C19" s="600">
        <f>Ruumid!D25</f>
        <v>111.9</v>
      </c>
      <c r="D19" s="645" t="s">
        <v>472</v>
      </c>
      <c r="E19" s="600">
        <v>55</v>
      </c>
      <c r="F19" s="662">
        <v>0.25</v>
      </c>
      <c r="G19" s="615">
        <f t="shared" si="5"/>
        <v>1538.625</v>
      </c>
      <c r="H19" s="615">
        <f>G19*12</f>
        <v>18463.5</v>
      </c>
      <c r="I19" s="616">
        <f t="shared" ref="I19:I20" si="10">H19/$H$33</f>
        <v>0.20447591107980692</v>
      </c>
      <c r="J19" s="492"/>
      <c r="K19" t="s">
        <v>269</v>
      </c>
      <c r="L19"/>
      <c r="M19" s="488">
        <f t="shared" ref="M19:M20" si="11">B19</f>
        <v>111.9</v>
      </c>
      <c r="N19" s="488">
        <f>B19*F19</f>
        <v>27.975000000000001</v>
      </c>
      <c r="O19" s="488">
        <f t="shared" ref="O19:O20" si="12">M19-N19</f>
        <v>83.925000000000011</v>
      </c>
      <c r="P19"/>
      <c r="Q19"/>
      <c r="T19" s="728"/>
    </row>
    <row r="20" spans="1:20" x14ac:dyDescent="0.35">
      <c r="A20" s="600" t="str">
        <f>Ruumid!A27</f>
        <v>Üüriruumid</v>
      </c>
      <c r="B20" s="600">
        <f>Ruumid!C27</f>
        <v>26.4</v>
      </c>
      <c r="C20" s="600">
        <f>Ruumid!D27</f>
        <v>26.4</v>
      </c>
      <c r="D20" s="645" t="s">
        <v>472</v>
      </c>
      <c r="E20" s="600">
        <v>15</v>
      </c>
      <c r="F20" s="662">
        <v>0.25</v>
      </c>
      <c r="G20" s="615">
        <f t="shared" si="5"/>
        <v>99</v>
      </c>
      <c r="H20" s="615">
        <f>G20*12</f>
        <v>1188</v>
      </c>
      <c r="I20" s="616">
        <f t="shared" si="10"/>
        <v>1.3156626986368273E-2</v>
      </c>
      <c r="J20"/>
      <c r="K20" t="s">
        <v>269</v>
      </c>
      <c r="L20"/>
      <c r="M20" s="488">
        <f t="shared" si="11"/>
        <v>26.4</v>
      </c>
      <c r="N20" s="488">
        <f>B20*F20</f>
        <v>6.6</v>
      </c>
      <c r="O20" s="488">
        <f t="shared" si="12"/>
        <v>19.799999999999997</v>
      </c>
      <c r="P20"/>
      <c r="Q20"/>
      <c r="T20" s="728"/>
    </row>
    <row r="21" spans="1:20" x14ac:dyDescent="0.35">
      <c r="A21" s="629"/>
      <c r="B21" s="629"/>
      <c r="C21" s="631"/>
      <c r="D21" s="659"/>
      <c r="E21" s="659"/>
      <c r="F21" s="659"/>
      <c r="G21" s="660"/>
      <c r="H21" s="660"/>
      <c r="I21" s="660"/>
      <c r="J21"/>
      <c r="K21"/>
      <c r="L21"/>
      <c r="M21" s="488"/>
      <c r="N21" s="488"/>
      <c r="O21" s="488"/>
      <c r="P21"/>
      <c r="Q21"/>
    </row>
    <row r="22" spans="1:20" hidden="1" x14ac:dyDescent="0.35">
      <c r="A22" s="600"/>
      <c r="B22" s="600"/>
      <c r="C22" s="600"/>
      <c r="D22" s="645"/>
      <c r="E22" s="600"/>
      <c r="F22" s="661"/>
      <c r="G22" s="615"/>
      <c r="H22" s="615"/>
      <c r="I22" s="616"/>
      <c r="J22"/>
      <c r="K22"/>
      <c r="L22"/>
      <c r="M22" s="488"/>
      <c r="N22" s="488"/>
      <c r="O22" s="488"/>
      <c r="P22"/>
      <c r="Q22"/>
    </row>
    <row r="23" spans="1:20" hidden="1" x14ac:dyDescent="0.35">
      <c r="A23" s="600"/>
      <c r="B23" s="600"/>
      <c r="C23" s="600"/>
      <c r="D23" s="645"/>
      <c r="E23" s="600"/>
      <c r="F23" s="663"/>
      <c r="G23" s="615"/>
      <c r="H23" s="615"/>
      <c r="I23" s="615"/>
      <c r="J23"/>
      <c r="K23"/>
      <c r="L23"/>
      <c r="P23"/>
      <c r="Q23"/>
    </row>
    <row r="24" spans="1:20" ht="15" hidden="1" customHeight="1" x14ac:dyDescent="0.35">
      <c r="B24" s="648"/>
      <c r="C24" s="648"/>
      <c r="D24" s="648"/>
      <c r="E24" s="648"/>
      <c r="F24" s="664"/>
      <c r="G24" s="665"/>
      <c r="H24" s="665"/>
      <c r="I24" s="665"/>
      <c r="J24"/>
      <c r="K24"/>
      <c r="L24"/>
      <c r="M24" s="488"/>
      <c r="N24" s="488"/>
      <c r="O24" s="488"/>
      <c r="P24"/>
      <c r="Q24"/>
    </row>
    <row r="25" spans="1:20" hidden="1" x14ac:dyDescent="0.35">
      <c r="A25" s="658"/>
      <c r="B25" s="600"/>
      <c r="C25" s="600"/>
      <c r="D25" s="600"/>
      <c r="E25" s="600"/>
      <c r="F25" s="600"/>
      <c r="G25" s="615"/>
      <c r="H25" s="615"/>
      <c r="I25" s="615"/>
      <c r="J25"/>
      <c r="K25"/>
      <c r="L25"/>
      <c r="M25" s="488"/>
      <c r="N25" s="488"/>
      <c r="O25" s="488"/>
      <c r="P25"/>
      <c r="Q25"/>
    </row>
    <row r="26" spans="1:20" hidden="1" x14ac:dyDescent="0.35">
      <c r="A26" s="629"/>
      <c r="B26" s="631"/>
      <c r="C26" s="631"/>
      <c r="D26" s="631"/>
      <c r="E26" s="659"/>
      <c r="F26" s="659"/>
      <c r="G26" s="660"/>
      <c r="H26" s="660"/>
      <c r="I26" s="660"/>
      <c r="J26"/>
      <c r="K26"/>
      <c r="L26"/>
      <c r="M26" s="488"/>
      <c r="N26" s="488"/>
      <c r="O26" s="488"/>
      <c r="P26"/>
      <c r="Q26"/>
    </row>
    <row r="27" spans="1:20" hidden="1" x14ac:dyDescent="0.35">
      <c r="A27" s="600"/>
      <c r="B27" s="600"/>
      <c r="C27" s="600"/>
      <c r="D27" s="600"/>
      <c r="E27" s="600"/>
      <c r="F27" s="662"/>
      <c r="G27" s="615"/>
      <c r="H27" s="615"/>
      <c r="I27" s="616"/>
      <c r="J27"/>
      <c r="K27" t="s">
        <v>269</v>
      </c>
      <c r="L27"/>
      <c r="M27" s="488">
        <f t="shared" ref="M27:M29" si="13">B27</f>
        <v>0</v>
      </c>
      <c r="N27" s="488">
        <f>B27*F27</f>
        <v>0</v>
      </c>
      <c r="O27" s="488">
        <f t="shared" ref="O27:O29" si="14">M27-N27</f>
        <v>0</v>
      </c>
      <c r="P27"/>
      <c r="Q27"/>
    </row>
    <row r="28" spans="1:20" hidden="1" x14ac:dyDescent="0.35">
      <c r="A28" s="600"/>
      <c r="B28" s="600"/>
      <c r="C28" s="600"/>
      <c r="D28" s="600"/>
      <c r="E28" s="600"/>
      <c r="F28" s="662"/>
      <c r="G28" s="615"/>
      <c r="H28" s="615"/>
      <c r="I28" s="616"/>
      <c r="J28"/>
      <c r="K28" t="s">
        <v>269</v>
      </c>
      <c r="L28"/>
      <c r="M28" s="488">
        <f t="shared" si="13"/>
        <v>0</v>
      </c>
      <c r="N28" s="488">
        <f>B28*F28</f>
        <v>0</v>
      </c>
      <c r="O28" s="488">
        <f t="shared" si="14"/>
        <v>0</v>
      </c>
      <c r="P28"/>
      <c r="Q28"/>
    </row>
    <row r="29" spans="1:20" hidden="1" x14ac:dyDescent="0.35">
      <c r="A29" s="600"/>
      <c r="B29" s="600"/>
      <c r="C29" s="600"/>
      <c r="D29" s="600"/>
      <c r="E29" s="600"/>
      <c r="F29" s="661"/>
      <c r="G29" s="615"/>
      <c r="H29" s="615"/>
      <c r="I29" s="616"/>
      <c r="J29"/>
      <c r="K29" t="s">
        <v>269</v>
      </c>
      <c r="L29"/>
      <c r="M29" s="488">
        <f t="shared" si="13"/>
        <v>0</v>
      </c>
      <c r="N29" s="488">
        <f>B29*F29</f>
        <v>0</v>
      </c>
      <c r="O29" s="488">
        <f t="shared" si="14"/>
        <v>0</v>
      </c>
      <c r="P29"/>
      <c r="Q29"/>
    </row>
    <row r="30" spans="1:20" hidden="1" x14ac:dyDescent="0.35">
      <c r="A30" s="629"/>
      <c r="B30" s="631"/>
      <c r="C30" s="631"/>
      <c r="D30" s="631"/>
      <c r="E30" s="659"/>
      <c r="F30" s="659"/>
      <c r="G30" s="660"/>
      <c r="H30" s="660"/>
      <c r="I30" s="660"/>
      <c r="J30"/>
      <c r="K30"/>
      <c r="L30"/>
      <c r="M30" s="488"/>
      <c r="N30" s="488"/>
      <c r="O30" s="488"/>
      <c r="P30"/>
      <c r="Q30"/>
    </row>
    <row r="31" spans="1:20" hidden="1" x14ac:dyDescent="0.35">
      <c r="A31" s="640"/>
      <c r="B31" s="600"/>
      <c r="C31" s="600"/>
      <c r="D31" s="600"/>
      <c r="E31" s="600"/>
      <c r="F31" s="661"/>
      <c r="G31" s="615"/>
      <c r="H31" s="615"/>
      <c r="I31" s="616"/>
      <c r="J31"/>
      <c r="K31" t="s">
        <v>269</v>
      </c>
      <c r="L31"/>
      <c r="M31" s="488">
        <f>B31</f>
        <v>0</v>
      </c>
      <c r="N31" s="488">
        <f>B31*F31</f>
        <v>0</v>
      </c>
      <c r="O31" s="488">
        <f>M31-N31</f>
        <v>0</v>
      </c>
      <c r="P31"/>
      <c r="Q31"/>
    </row>
    <row r="32" spans="1:20" x14ac:dyDescent="0.35">
      <c r="A32" s="600"/>
      <c r="B32" s="600"/>
      <c r="C32" s="600"/>
      <c r="D32" s="600"/>
      <c r="E32" s="600"/>
      <c r="F32" s="600"/>
      <c r="G32" s="615"/>
      <c r="H32" s="615"/>
      <c r="I32" s="615"/>
      <c r="J32"/>
      <c r="K32"/>
      <c r="L32"/>
      <c r="M32" s="488"/>
      <c r="N32" s="488"/>
      <c r="O32" s="488"/>
      <c r="P32"/>
      <c r="Q32"/>
    </row>
    <row r="33" spans="1:17" x14ac:dyDescent="0.35">
      <c r="A33" s="666" t="s">
        <v>463</v>
      </c>
      <c r="B33" s="600"/>
      <c r="C33" s="600"/>
      <c r="D33" s="600"/>
      <c r="E33" s="600"/>
      <c r="F33" s="600"/>
      <c r="G33" s="667">
        <f>SUM(G7:G32)</f>
        <v>7524.7250000000004</v>
      </c>
      <c r="H33" s="667">
        <f>SUM(H7:H32)</f>
        <v>90296.7</v>
      </c>
      <c r="I33" s="667"/>
      <c r="J33"/>
      <c r="K33"/>
      <c r="L33"/>
      <c r="M33" s="500">
        <f>SUM(M6:M22)</f>
        <v>1039.5</v>
      </c>
      <c r="N33" s="500">
        <f>SUM(N6:N22)</f>
        <v>757.17499999999995</v>
      </c>
      <c r="O33" s="500">
        <f>SUM(O6:O22)</f>
        <v>282.32499999999999</v>
      </c>
      <c r="P33"/>
      <c r="Q33"/>
    </row>
    <row r="34" spans="1:17" x14ac:dyDescent="0.35">
      <c r="A34" s="603"/>
      <c r="B34" s="603"/>
      <c r="C34" s="603"/>
      <c r="D34" s="603"/>
      <c r="E34" s="603"/>
      <c r="F34" s="603"/>
      <c r="G34" s="603"/>
      <c r="H34" s="603"/>
      <c r="I34" s="603"/>
      <c r="J34"/>
      <c r="K34"/>
      <c r="L34"/>
      <c r="M34" s="603"/>
      <c r="N34" s="723">
        <f>N33/M33</f>
        <v>0.72840307840307839</v>
      </c>
      <c r="O34" s="722">
        <f>O33/M33</f>
        <v>0.27159692159692156</v>
      </c>
      <c r="P34"/>
      <c r="Q34"/>
    </row>
    <row r="35" spans="1:17" x14ac:dyDescent="0.35">
      <c r="A35" s="635" t="s">
        <v>395</v>
      </c>
      <c r="B35" s="603"/>
      <c r="C35" s="603"/>
      <c r="D35" s="603"/>
      <c r="E35" s="603"/>
      <c r="F35" s="603"/>
      <c r="G35" s="603"/>
      <c r="H35" s="603"/>
      <c r="I35" s="603"/>
      <c r="J35"/>
      <c r="K35"/>
      <c r="L35"/>
      <c r="M35"/>
      <c r="N35"/>
      <c r="O35"/>
      <c r="P35"/>
      <c r="Q35"/>
    </row>
    <row r="36" spans="1:17" x14ac:dyDescent="0.35">
      <c r="A36" s="603"/>
      <c r="B36" s="603"/>
      <c r="C36" s="603"/>
      <c r="D36" s="603"/>
      <c r="E36" s="603"/>
      <c r="F36" s="603"/>
      <c r="G36" s="603"/>
      <c r="H36" s="603"/>
      <c r="I36" s="603"/>
      <c r="J36"/>
      <c r="K36"/>
      <c r="L36"/>
      <c r="M36"/>
      <c r="N36"/>
      <c r="O36"/>
      <c r="P36"/>
      <c r="Q36"/>
    </row>
    <row r="37" spans="1:17" x14ac:dyDescent="0.35">
      <c r="A37" s="603"/>
      <c r="B37" s="603"/>
      <c r="C37" s="603"/>
      <c r="D37" s="603"/>
      <c r="E37" s="603"/>
      <c r="F37" s="603"/>
      <c r="G37" s="603"/>
      <c r="H37" s="603"/>
      <c r="I37" s="603"/>
      <c r="J37"/>
      <c r="K37"/>
      <c r="L37"/>
      <c r="M37"/>
      <c r="N37"/>
      <c r="O37"/>
      <c r="P37"/>
      <c r="Q37"/>
    </row>
    <row r="38" spans="1:17" ht="29" x14ac:dyDescent="0.35">
      <c r="A38" s="668"/>
      <c r="B38" s="668"/>
      <c r="C38" s="668"/>
      <c r="D38" s="668"/>
      <c r="E38" s="668"/>
      <c r="F38" s="668"/>
      <c r="G38" s="669" t="s">
        <v>474</v>
      </c>
      <c r="H38" s="669" t="s">
        <v>475</v>
      </c>
      <c r="I38" s="669" t="s">
        <v>283</v>
      </c>
      <c r="J38" s="498"/>
      <c r="K38"/>
      <c r="L38"/>
      <c r="M38"/>
      <c r="N38"/>
      <c r="O38"/>
      <c r="P38"/>
      <c r="Q38"/>
    </row>
    <row r="39" spans="1:17" x14ac:dyDescent="0.35">
      <c r="A39" s="600" t="s">
        <v>287</v>
      </c>
      <c r="B39" s="600"/>
      <c r="C39" s="600"/>
      <c r="D39" s="600"/>
      <c r="E39" s="600"/>
      <c r="F39" s="600"/>
      <c r="G39" s="615">
        <f>H39/12</f>
        <v>253.29450209979316</v>
      </c>
      <c r="H39" s="615">
        <f>Kulud25!F5</f>
        <v>3039.5340251975181</v>
      </c>
      <c r="I39" s="616">
        <f>H39/$H$47</f>
        <v>0.15370385113388566</v>
      </c>
      <c r="J39" s="499"/>
      <c r="K39"/>
      <c r="L39"/>
      <c r="M39"/>
      <c r="N39"/>
      <c r="O39"/>
      <c r="P39"/>
      <c r="Q39"/>
    </row>
    <row r="40" spans="1:17" x14ac:dyDescent="0.35">
      <c r="A40" s="600" t="s">
        <v>464</v>
      </c>
      <c r="B40" s="600"/>
      <c r="C40" s="600"/>
      <c r="D40" s="600"/>
      <c r="E40" s="600"/>
      <c r="F40" s="600"/>
      <c r="G40" s="615">
        <f t="shared" ref="G40:G45" si="15">H40/12</f>
        <v>38.9985912051105</v>
      </c>
      <c r="H40" s="615">
        <f>Kulud25!F14</f>
        <v>467.983094461326</v>
      </c>
      <c r="I40" s="616">
        <f t="shared" ref="I40:I45" si="16">H40/$H$47</f>
        <v>2.366507605703954E-2</v>
      </c>
      <c r="J40" s="499"/>
      <c r="K40"/>
      <c r="L40"/>
      <c r="M40"/>
      <c r="N40"/>
      <c r="O40"/>
      <c r="P40"/>
      <c r="Q40"/>
    </row>
    <row r="41" spans="1:17" x14ac:dyDescent="0.35">
      <c r="A41" s="600" t="s">
        <v>398</v>
      </c>
      <c r="B41" s="600"/>
      <c r="C41" s="600"/>
      <c r="D41" s="600"/>
      <c r="E41" s="600"/>
      <c r="F41" s="600"/>
      <c r="G41" s="615">
        <f t="shared" si="15"/>
        <v>133.53561988668773</v>
      </c>
      <c r="H41" s="615">
        <f>Kulud25!F20</f>
        <v>1602.4274386402526</v>
      </c>
      <c r="I41" s="616">
        <f t="shared" si="16"/>
        <v>8.1031916879301863E-2</v>
      </c>
      <c r="J41" s="499"/>
      <c r="K41"/>
      <c r="L41"/>
      <c r="M41"/>
      <c r="N41"/>
      <c r="O41"/>
      <c r="P41"/>
      <c r="Q41"/>
    </row>
    <row r="42" spans="1:17" x14ac:dyDescent="0.35">
      <c r="A42" s="600" t="s">
        <v>465</v>
      </c>
      <c r="B42" s="600"/>
      <c r="C42" s="600"/>
      <c r="D42" s="600"/>
      <c r="E42" s="600"/>
      <c r="F42" s="600"/>
      <c r="G42" s="615">
        <f t="shared" si="15"/>
        <v>489.12282192945173</v>
      </c>
      <c r="H42" s="615">
        <f>Kulud25!F43</f>
        <v>5869.473863153421</v>
      </c>
      <c r="I42" s="616">
        <f t="shared" si="16"/>
        <v>0.29680889551408823</v>
      </c>
      <c r="J42" s="499"/>
      <c r="K42"/>
      <c r="L42"/>
      <c r="M42"/>
      <c r="N42"/>
      <c r="O42"/>
      <c r="P42"/>
      <c r="Q42"/>
    </row>
    <row r="43" spans="1:17" x14ac:dyDescent="0.35">
      <c r="A43" s="600" t="s">
        <v>403</v>
      </c>
      <c r="B43" s="600"/>
      <c r="C43" s="600"/>
      <c r="D43" s="600"/>
      <c r="E43" s="600"/>
      <c r="F43" s="600"/>
      <c r="G43" s="615">
        <f t="shared" si="15"/>
        <v>346.83742208528116</v>
      </c>
      <c r="H43" s="615">
        <f>Kulud25!F48</f>
        <v>4162.0490650233742</v>
      </c>
      <c r="I43" s="616">
        <f t="shared" si="16"/>
        <v>0.21046744816772023</v>
      </c>
      <c r="J43" s="499"/>
      <c r="K43"/>
      <c r="L43"/>
      <c r="M43"/>
      <c r="N43"/>
      <c r="O43"/>
      <c r="P43"/>
      <c r="Q43"/>
    </row>
    <row r="44" spans="1:17" x14ac:dyDescent="0.35">
      <c r="A44" s="600" t="s">
        <v>404</v>
      </c>
      <c r="B44" s="600"/>
      <c r="C44" s="600"/>
      <c r="D44" s="600"/>
      <c r="E44" s="600"/>
      <c r="F44" s="600"/>
      <c r="G44" s="615">
        <f t="shared" si="15"/>
        <v>257.43306417339562</v>
      </c>
      <c r="H44" s="615">
        <f>Kulud25!F54</f>
        <v>3089.1967700807477</v>
      </c>
      <c r="I44" s="616">
        <f t="shared" si="16"/>
        <v>0.15621520816530959</v>
      </c>
      <c r="J44" s="499"/>
      <c r="K44"/>
      <c r="L44"/>
      <c r="M44"/>
      <c r="N44"/>
      <c r="O44"/>
      <c r="P44"/>
      <c r="Q44"/>
    </row>
    <row r="45" spans="1:17" x14ac:dyDescent="0.35">
      <c r="A45" s="615" t="s">
        <v>406</v>
      </c>
      <c r="B45" s="600"/>
      <c r="C45" s="600"/>
      <c r="D45" s="600"/>
      <c r="E45" s="600"/>
      <c r="F45" s="600"/>
      <c r="G45" s="615">
        <f t="shared" si="15"/>
        <v>128.71653208669781</v>
      </c>
      <c r="H45" s="615">
        <f>Kulud25!F56</f>
        <v>1544.5983850403738</v>
      </c>
      <c r="I45" s="616">
        <f t="shared" si="16"/>
        <v>7.8107604082654797E-2</v>
      </c>
      <c r="J45" s="499"/>
      <c r="K45"/>
      <c r="L45"/>
      <c r="M45"/>
      <c r="N45"/>
      <c r="O45"/>
      <c r="P45"/>
      <c r="Q45"/>
    </row>
    <row r="46" spans="1:17" x14ac:dyDescent="0.35">
      <c r="A46" s="600"/>
      <c r="B46" s="600"/>
      <c r="C46" s="600"/>
      <c r="D46" s="600"/>
      <c r="E46" s="600"/>
      <c r="F46" s="600"/>
      <c r="G46" s="615"/>
      <c r="H46" s="615"/>
      <c r="I46" s="616"/>
      <c r="J46" s="499"/>
      <c r="K46"/>
      <c r="L46"/>
      <c r="M46"/>
      <c r="N46"/>
      <c r="O46"/>
      <c r="P46"/>
      <c r="Q46"/>
    </row>
    <row r="47" spans="1:17" x14ac:dyDescent="0.35">
      <c r="A47" s="666" t="s">
        <v>466</v>
      </c>
      <c r="B47" s="600"/>
      <c r="C47" s="600"/>
      <c r="D47" s="600"/>
      <c r="E47" s="600"/>
      <c r="F47" s="600"/>
      <c r="G47" s="667">
        <f>SUM(G39:G46)</f>
        <v>1647.9385534664177</v>
      </c>
      <c r="H47" s="667">
        <f>SUM(H39:H46)</f>
        <v>19775.262641597015</v>
      </c>
      <c r="I47" s="670">
        <f>SUM(I39:I46)</f>
        <v>0.99999999999999989</v>
      </c>
      <c r="J47" s="501"/>
      <c r="K47"/>
      <c r="L47"/>
      <c r="M47"/>
      <c r="N47"/>
      <c r="O47"/>
      <c r="P47"/>
      <c r="Q47"/>
    </row>
    <row r="48" spans="1:17" x14ac:dyDescent="0.35">
      <c r="A48"/>
      <c r="B48"/>
      <c r="C48"/>
      <c r="D48"/>
      <c r="E48"/>
      <c r="F48"/>
      <c r="G48"/>
      <c r="H48"/>
      <c r="I48"/>
      <c r="J48"/>
      <c r="K48"/>
      <c r="L48"/>
      <c r="M48"/>
      <c r="N48"/>
      <c r="O48"/>
      <c r="P48"/>
      <c r="Q48"/>
    </row>
    <row r="49" spans="1:17" x14ac:dyDescent="0.35">
      <c r="A49" s="618" t="s">
        <v>65</v>
      </c>
      <c r="B49" s="502"/>
      <c r="C49" s="502"/>
      <c r="D49" s="502"/>
      <c r="E49" s="502"/>
      <c r="F49" s="502"/>
      <c r="G49" s="503">
        <f>F36+G47</f>
        <v>1647.9385534664177</v>
      </c>
      <c r="H49" s="503">
        <f>G36+H47</f>
        <v>19775.262641597015</v>
      </c>
      <c r="I49" s="504"/>
      <c r="J49"/>
      <c r="K49"/>
      <c r="L49"/>
      <c r="M49"/>
      <c r="N49"/>
      <c r="O49"/>
      <c r="P49"/>
      <c r="Q49"/>
    </row>
    <row r="50" spans="1:17" x14ac:dyDescent="0.35">
      <c r="A50"/>
      <c r="B50"/>
      <c r="C50"/>
      <c r="D50"/>
      <c r="E50"/>
      <c r="F50"/>
      <c r="G50"/>
      <c r="H50"/>
      <c r="I50"/>
      <c r="J50"/>
      <c r="K50"/>
      <c r="L50"/>
      <c r="M50"/>
      <c r="N50"/>
      <c r="O50"/>
      <c r="P50"/>
      <c r="Q50"/>
    </row>
    <row r="51" spans="1:17" x14ac:dyDescent="0.35">
      <c r="A51"/>
      <c r="B51"/>
      <c r="C51"/>
      <c r="D51"/>
      <c r="E51"/>
      <c r="F51"/>
      <c r="G51"/>
      <c r="H51"/>
      <c r="I51"/>
      <c r="J51"/>
      <c r="K51"/>
      <c r="L51"/>
      <c r="M51"/>
      <c r="N51"/>
      <c r="O51"/>
      <c r="P51"/>
      <c r="Q51"/>
    </row>
    <row r="52" spans="1:17" x14ac:dyDescent="0.35">
      <c r="A52"/>
      <c r="B52"/>
      <c r="C52"/>
      <c r="D52"/>
      <c r="E52"/>
      <c r="F52"/>
      <c r="G52"/>
      <c r="H52"/>
      <c r="I52"/>
      <c r="J52"/>
      <c r="K52"/>
      <c r="L52"/>
      <c r="M52"/>
      <c r="N52"/>
      <c r="O52"/>
      <c r="P52"/>
      <c r="Q52"/>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8"/>
  <sheetViews>
    <sheetView topLeftCell="A11" workbookViewId="0">
      <selection activeCell="B5" sqref="B5:C5"/>
    </sheetView>
  </sheetViews>
  <sheetFormatPr defaultColWidth="9.1796875" defaultRowHeight="14.5" x14ac:dyDescent="0.35"/>
  <cols>
    <col min="1" max="1" width="20.1796875" style="288" customWidth="1"/>
    <col min="2" max="2" width="13.54296875" style="280" customWidth="1"/>
    <col min="3" max="3" width="46.1796875" style="70" customWidth="1"/>
    <col min="4" max="4" width="3.81640625" style="70" customWidth="1"/>
    <col min="5" max="16384" width="9.1796875" style="70"/>
  </cols>
  <sheetData>
    <row r="1" spans="1:4" ht="26.25" customHeight="1" x14ac:dyDescent="0.35">
      <c r="A1" s="279" t="s">
        <v>150</v>
      </c>
      <c r="D1" s="277"/>
    </row>
    <row r="3" spans="1:4" ht="63" customHeight="1" x14ac:dyDescent="0.35">
      <c r="A3" s="281" t="s">
        <v>151</v>
      </c>
      <c r="B3" s="748" t="s">
        <v>549</v>
      </c>
      <c r="C3" s="748"/>
    </row>
    <row r="4" spans="1:4" x14ac:dyDescent="0.35">
      <c r="A4" s="282"/>
    </row>
    <row r="5" spans="1:4" ht="42" customHeight="1" x14ac:dyDescent="0.35">
      <c r="A5" s="281" t="s">
        <v>152</v>
      </c>
      <c r="B5" s="749" t="s">
        <v>390</v>
      </c>
      <c r="C5" s="749"/>
    </row>
    <row r="6" spans="1:4" ht="23.25" customHeight="1" x14ac:dyDescent="0.35">
      <c r="A6" s="281" t="s">
        <v>153</v>
      </c>
      <c r="B6" s="749" t="s">
        <v>391</v>
      </c>
      <c r="C6" s="749"/>
    </row>
    <row r="7" spans="1:4" ht="23.25" customHeight="1" x14ac:dyDescent="0.35">
      <c r="A7" s="281" t="s">
        <v>154</v>
      </c>
      <c r="B7" s="750" t="s">
        <v>392</v>
      </c>
      <c r="C7" s="750"/>
    </row>
    <row r="8" spans="1:4" ht="23.25" customHeight="1" x14ac:dyDescent="0.35">
      <c r="A8" s="281" t="s">
        <v>155</v>
      </c>
      <c r="B8" s="751" t="s">
        <v>393</v>
      </c>
      <c r="C8" s="751"/>
    </row>
    <row r="9" spans="1:4" x14ac:dyDescent="0.35">
      <c r="A9" s="282"/>
    </row>
    <row r="10" spans="1:4" ht="33.75" customHeight="1" x14ac:dyDescent="0.35">
      <c r="A10" s="281" t="s">
        <v>156</v>
      </c>
      <c r="B10" s="284">
        <v>2024</v>
      </c>
      <c r="C10" s="285"/>
    </row>
    <row r="11" spans="1:4" ht="35.25" customHeight="1" x14ac:dyDescent="0.35">
      <c r="A11" s="281" t="s">
        <v>157</v>
      </c>
      <c r="B11" s="284">
        <v>2038</v>
      </c>
      <c r="C11" s="285"/>
    </row>
    <row r="12" spans="1:4" ht="36" customHeight="1" x14ac:dyDescent="0.35">
      <c r="A12" s="281" t="s">
        <v>158</v>
      </c>
      <c r="B12" s="286">
        <v>15</v>
      </c>
      <c r="C12" s="287" t="s">
        <v>74</v>
      </c>
    </row>
    <row r="13" spans="1:4" ht="81" customHeight="1" x14ac:dyDescent="0.35">
      <c r="A13" s="281" t="s">
        <v>159</v>
      </c>
      <c r="B13" s="752" t="s">
        <v>389</v>
      </c>
      <c r="C13" s="753"/>
    </row>
    <row r="14" spans="1:4" x14ac:dyDescent="0.35">
      <c r="A14" s="282"/>
    </row>
    <row r="15" spans="1:4" ht="20.25" customHeight="1" x14ac:dyDescent="0.35">
      <c r="A15" s="288" t="s">
        <v>160</v>
      </c>
    </row>
    <row r="16" spans="1:4" ht="24.75" customHeight="1" x14ac:dyDescent="0.35">
      <c r="A16" s="281" t="s">
        <v>161</v>
      </c>
      <c r="B16" s="745">
        <v>45292</v>
      </c>
      <c r="C16" s="745"/>
    </row>
    <row r="17" spans="1:3" ht="24.75" customHeight="1" x14ac:dyDescent="0.35">
      <c r="A17" s="281" t="s">
        <v>162</v>
      </c>
      <c r="B17" s="745">
        <v>50770</v>
      </c>
      <c r="C17" s="745"/>
    </row>
    <row r="18" spans="1:3" x14ac:dyDescent="0.35">
      <c r="A18" s="289"/>
      <c r="B18" s="746"/>
      <c r="C18" s="746"/>
    </row>
    <row r="19" spans="1:3" ht="36.75" customHeight="1" x14ac:dyDescent="0.35">
      <c r="A19" s="281" t="s">
        <v>221</v>
      </c>
      <c r="B19" s="747">
        <v>45352</v>
      </c>
      <c r="C19" s="747"/>
    </row>
    <row r="20" spans="1:3" x14ac:dyDescent="0.35">
      <c r="A20" s="282"/>
    </row>
    <row r="21" spans="1:3" x14ac:dyDescent="0.35">
      <c r="A21" s="282"/>
    </row>
    <row r="22" spans="1:3" x14ac:dyDescent="0.35">
      <c r="A22" s="282"/>
    </row>
    <row r="23" spans="1:3" x14ac:dyDescent="0.35">
      <c r="A23" s="282"/>
    </row>
    <row r="24" spans="1:3" x14ac:dyDescent="0.35">
      <c r="A24" s="282"/>
    </row>
    <row r="25" spans="1:3" x14ac:dyDescent="0.35">
      <c r="A25" s="282"/>
    </row>
    <row r="26" spans="1:3" x14ac:dyDescent="0.35">
      <c r="A26" s="282"/>
    </row>
    <row r="27" spans="1:3" x14ac:dyDescent="0.35">
      <c r="A27" s="282"/>
    </row>
    <row r="28" spans="1:3" x14ac:dyDescent="0.35">
      <c r="A28" s="282"/>
    </row>
    <row r="29" spans="1:3" x14ac:dyDescent="0.35">
      <c r="A29" s="282"/>
    </row>
    <row r="30" spans="1:3" x14ac:dyDescent="0.35">
      <c r="A30" s="282"/>
    </row>
    <row r="31" spans="1:3" x14ac:dyDescent="0.35">
      <c r="A31" s="282"/>
    </row>
    <row r="32" spans="1:3" x14ac:dyDescent="0.35">
      <c r="A32" s="282"/>
    </row>
    <row r="33" spans="1:1" x14ac:dyDescent="0.35">
      <c r="A33" s="282"/>
    </row>
    <row r="34" spans="1:1" x14ac:dyDescent="0.35">
      <c r="A34" s="282"/>
    </row>
    <row r="35" spans="1:1" x14ac:dyDescent="0.35">
      <c r="A35" s="282"/>
    </row>
    <row r="36" spans="1:1" x14ac:dyDescent="0.35">
      <c r="A36" s="282"/>
    </row>
    <row r="37" spans="1:1" x14ac:dyDescent="0.35">
      <c r="A37" s="282"/>
    </row>
    <row r="38" spans="1:1" x14ac:dyDescent="0.35">
      <c r="A38" s="282"/>
    </row>
    <row r="39" spans="1:1" x14ac:dyDescent="0.35">
      <c r="A39" s="282"/>
    </row>
    <row r="40" spans="1:1" x14ac:dyDescent="0.35">
      <c r="A40" s="282"/>
    </row>
    <row r="41" spans="1:1" x14ac:dyDescent="0.35">
      <c r="A41" s="282"/>
    </row>
    <row r="42" spans="1:1" x14ac:dyDescent="0.35">
      <c r="A42" s="282"/>
    </row>
    <row r="43" spans="1:1" x14ac:dyDescent="0.35">
      <c r="A43" s="282"/>
    </row>
    <row r="44" spans="1:1" x14ac:dyDescent="0.35">
      <c r="A44" s="282"/>
    </row>
    <row r="45" spans="1:1" x14ac:dyDescent="0.35">
      <c r="A45" s="282"/>
    </row>
    <row r="46" spans="1:1" x14ac:dyDescent="0.35">
      <c r="A46" s="282"/>
    </row>
    <row r="47" spans="1:1" x14ac:dyDescent="0.35">
      <c r="A47" s="282"/>
    </row>
    <row r="48" spans="1:1" x14ac:dyDescent="0.35">
      <c r="A48" s="282"/>
    </row>
  </sheetData>
  <mergeCells count="10">
    <mergeCell ref="B16:C16"/>
    <mergeCell ref="B17:C17"/>
    <mergeCell ref="B18:C18"/>
    <mergeCell ref="B19:C19"/>
    <mergeCell ref="B3:C3"/>
    <mergeCell ref="B5:C5"/>
    <mergeCell ref="B6:C6"/>
    <mergeCell ref="B7:C7"/>
    <mergeCell ref="B8:C8"/>
    <mergeCell ref="B13:C13"/>
  </mergeCells>
  <hyperlinks>
    <hyperlink ref="B7" r:id="rId1" xr:uid="{00000000-0004-0000-0100-000000000000}"/>
  </hyperlinks>
  <pageMargins left="0.9055118110236221" right="0.70866141732283472" top="0.74803149606299213" bottom="0.74803149606299213" header="0.31496062992125984" footer="0.31496062992125984"/>
  <pageSetup paperSize="9" orientation="portrait" verticalDpi="0"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50"/>
  <sheetViews>
    <sheetView workbookViewId="0">
      <selection activeCell="C39" sqref="C39"/>
    </sheetView>
  </sheetViews>
  <sheetFormatPr defaultColWidth="9.1796875" defaultRowHeight="14.5" x14ac:dyDescent="0.35"/>
  <cols>
    <col min="1" max="1" width="25.1796875" style="365" customWidth="1"/>
    <col min="2" max="2" width="15.1796875" style="365" customWidth="1"/>
    <col min="3" max="3" width="14.7265625" style="365" customWidth="1"/>
    <col min="4" max="4" width="13.1796875" style="365" customWidth="1"/>
    <col min="5" max="5" width="13.26953125" style="365" customWidth="1"/>
    <col min="6" max="6" width="8.81640625" style="365" customWidth="1"/>
    <col min="7" max="7" width="12.453125" style="365" customWidth="1"/>
    <col min="8" max="8" width="14.26953125" style="365" customWidth="1"/>
    <col min="9" max="9" width="13.26953125" style="365" customWidth="1"/>
    <col min="10" max="10" width="17" style="365" customWidth="1"/>
    <col min="11" max="16384" width="9.1796875" style="365"/>
  </cols>
  <sheetData>
    <row r="1" spans="1:8" x14ac:dyDescent="0.35">
      <c r="A1" s="635" t="s">
        <v>420</v>
      </c>
      <c r="B1" s="635"/>
      <c r="C1" s="603"/>
      <c r="D1" s="603"/>
      <c r="E1" s="636"/>
      <c r="F1" s="601"/>
      <c r="G1" s="601"/>
      <c r="H1" s="603"/>
    </row>
    <row r="2" spans="1:8" x14ac:dyDescent="0.35">
      <c r="A2" s="603"/>
      <c r="B2" s="603"/>
      <c r="C2" s="603"/>
      <c r="D2" s="603"/>
      <c r="E2" s="602"/>
      <c r="F2" s="603"/>
      <c r="G2" s="603"/>
      <c r="H2" s="603"/>
    </row>
    <row r="3" spans="1:8" x14ac:dyDescent="0.35">
      <c r="A3" s="635" t="s">
        <v>421</v>
      </c>
      <c r="B3" s="635"/>
      <c r="C3" s="603"/>
      <c r="D3" s="601"/>
      <c r="E3" s="602"/>
      <c r="F3" s="603"/>
      <c r="G3" s="603"/>
      <c r="H3" s="603"/>
    </row>
    <row r="4" spans="1:8" x14ac:dyDescent="0.35">
      <c r="A4" s="637" t="s">
        <v>545</v>
      </c>
      <c r="B4" s="600" t="s">
        <v>546</v>
      </c>
      <c r="C4" s="600">
        <v>62.78</v>
      </c>
      <c r="D4" s="601"/>
      <c r="E4" s="602"/>
      <c r="F4" s="603"/>
      <c r="G4" s="603"/>
      <c r="H4" s="603"/>
    </row>
    <row r="5" spans="1:8" x14ac:dyDescent="0.35">
      <c r="A5" s="637" t="s">
        <v>422</v>
      </c>
      <c r="B5" s="600" t="s">
        <v>427</v>
      </c>
      <c r="C5" s="488">
        <f>0.115+0.115*0.3</f>
        <v>0.14950000000000002</v>
      </c>
      <c r="D5" s="604"/>
      <c r="E5" s="602"/>
      <c r="F5" s="603"/>
      <c r="G5" s="605"/>
      <c r="H5" s="603"/>
    </row>
    <row r="6" spans="1:8" x14ac:dyDescent="0.35">
      <c r="A6" s="637" t="s">
        <v>423</v>
      </c>
      <c r="B6" s="600" t="s">
        <v>426</v>
      </c>
      <c r="C6" s="600">
        <v>1.7529999999999999</v>
      </c>
      <c r="D6" s="601"/>
      <c r="E6" s="602"/>
      <c r="F6" s="603"/>
      <c r="G6" s="603"/>
      <c r="H6" s="603"/>
    </row>
    <row r="7" spans="1:8" x14ac:dyDescent="0.35">
      <c r="A7" s="637" t="s">
        <v>424</v>
      </c>
      <c r="B7" s="600" t="s">
        <v>426</v>
      </c>
      <c r="C7" s="600">
        <v>5</v>
      </c>
      <c r="D7" s="601"/>
      <c r="E7" s="602"/>
      <c r="F7" s="603"/>
      <c r="G7" s="603"/>
      <c r="H7" s="603"/>
    </row>
    <row r="8" spans="1:8" x14ac:dyDescent="0.35">
      <c r="A8" s="637" t="s">
        <v>425</v>
      </c>
      <c r="B8" s="600" t="s">
        <v>426</v>
      </c>
      <c r="C8" s="600">
        <v>1.39</v>
      </c>
      <c r="D8" s="601"/>
      <c r="E8" s="602"/>
      <c r="F8" s="603"/>
      <c r="G8" s="603"/>
      <c r="H8" s="603"/>
    </row>
    <row r="9" spans="1:8" x14ac:dyDescent="0.35">
      <c r="A9" s="603"/>
      <c r="B9" s="603"/>
      <c r="C9" s="603"/>
      <c r="D9" s="603"/>
      <c r="E9" s="602"/>
      <c r="F9" s="603"/>
      <c r="G9" s="603"/>
      <c r="H9" s="603"/>
    </row>
    <row r="10" spans="1:8" x14ac:dyDescent="0.35">
      <c r="A10" s="635" t="s">
        <v>428</v>
      </c>
      <c r="B10" s="635"/>
      <c r="C10" s="603"/>
      <c r="D10" s="603"/>
      <c r="E10" s="602"/>
      <c r="F10" s="603"/>
      <c r="G10" s="603"/>
      <c r="H10" s="603"/>
    </row>
    <row r="11" spans="1:8" ht="29" x14ac:dyDescent="0.35">
      <c r="A11" s="637"/>
      <c r="B11" s="638" t="s">
        <v>2</v>
      </c>
      <c r="C11" s="606" t="s">
        <v>429</v>
      </c>
      <c r="D11" s="607" t="s">
        <v>430</v>
      </c>
      <c r="E11" s="602"/>
      <c r="F11" s="603"/>
      <c r="G11" s="603"/>
      <c r="H11" s="603"/>
    </row>
    <row r="12" spans="1:8" x14ac:dyDescent="0.35">
      <c r="A12" s="637" t="s">
        <v>545</v>
      </c>
      <c r="B12" s="639"/>
      <c r="C12" s="606"/>
      <c r="D12" s="607"/>
      <c r="E12" s="602"/>
      <c r="F12" s="603"/>
      <c r="G12" s="603"/>
      <c r="H12" s="603"/>
    </row>
    <row r="13" spans="1:8" hidden="1" x14ac:dyDescent="0.35">
      <c r="A13" s="634"/>
      <c r="B13" s="640"/>
      <c r="C13" s="608"/>
      <c r="D13" s="608"/>
      <c r="E13" s="602"/>
      <c r="F13" s="603"/>
      <c r="G13" s="609"/>
      <c r="H13" s="603"/>
    </row>
    <row r="14" spans="1:8" x14ac:dyDescent="0.35">
      <c r="A14" s="634" t="s">
        <v>279</v>
      </c>
      <c r="B14" s="640" t="s">
        <v>547</v>
      </c>
      <c r="C14" s="610">
        <v>11.6</v>
      </c>
      <c r="D14" s="610">
        <f>C14</f>
        <v>11.6</v>
      </c>
      <c r="E14" s="602"/>
      <c r="F14" s="603"/>
      <c r="G14" s="603"/>
      <c r="H14" s="603"/>
    </row>
    <row r="15" spans="1:8" x14ac:dyDescent="0.35">
      <c r="A15" s="637" t="s">
        <v>422</v>
      </c>
      <c r="B15" s="607"/>
      <c r="C15" s="600"/>
      <c r="D15" s="603"/>
      <c r="E15" s="602"/>
      <c r="F15" s="603"/>
      <c r="G15" s="603"/>
      <c r="H15" s="603"/>
    </row>
    <row r="16" spans="1:8" ht="14.25" hidden="1" customHeight="1" x14ac:dyDescent="0.35">
      <c r="A16" s="641"/>
      <c r="B16" s="640"/>
      <c r="C16" s="610"/>
      <c r="D16" s="603"/>
      <c r="E16" s="602"/>
      <c r="F16" s="603"/>
      <c r="G16" s="603"/>
      <c r="H16" s="603"/>
    </row>
    <row r="17" spans="1:8" ht="14.25" customHeight="1" x14ac:dyDescent="0.35">
      <c r="A17" s="641" t="s">
        <v>279</v>
      </c>
      <c r="B17" s="640" t="s">
        <v>432</v>
      </c>
      <c r="C17" s="610">
        <v>4</v>
      </c>
      <c r="D17" s="611"/>
      <c r="E17" s="602"/>
      <c r="F17" s="603"/>
      <c r="G17" s="603"/>
      <c r="H17" s="603"/>
    </row>
    <row r="18" spans="1:8" ht="14.25" customHeight="1" x14ac:dyDescent="0.35">
      <c r="A18" s="637" t="s">
        <v>398</v>
      </c>
      <c r="B18" s="607" t="s">
        <v>433</v>
      </c>
      <c r="C18" s="600">
        <f>50*21/1000</f>
        <v>1.05</v>
      </c>
      <c r="D18" s="603"/>
      <c r="E18" s="602"/>
      <c r="F18" s="603"/>
      <c r="G18" s="603"/>
      <c r="H18" s="603"/>
    </row>
    <row r="19" spans="1:8" ht="14.25" customHeight="1" x14ac:dyDescent="0.35">
      <c r="A19" s="634" t="s">
        <v>399</v>
      </c>
      <c r="B19" s="607" t="s">
        <v>433</v>
      </c>
      <c r="C19" s="600">
        <f>C18*0.6</f>
        <v>0.63</v>
      </c>
      <c r="D19" s="603"/>
      <c r="E19" s="602"/>
      <c r="F19" s="603"/>
      <c r="G19" s="603"/>
      <c r="H19" s="603"/>
    </row>
    <row r="20" spans="1:8" ht="14.25" customHeight="1" x14ac:dyDescent="0.35">
      <c r="A20" s="634" t="s">
        <v>400</v>
      </c>
      <c r="B20" s="607" t="s">
        <v>433</v>
      </c>
      <c r="C20" s="600">
        <f>C18*0.4</f>
        <v>0.42000000000000004</v>
      </c>
      <c r="D20" s="603"/>
      <c r="E20" s="602"/>
      <c r="F20" s="603"/>
      <c r="G20" s="612"/>
      <c r="H20" s="603"/>
    </row>
    <row r="21" spans="1:8" x14ac:dyDescent="0.35">
      <c r="A21" s="603"/>
      <c r="B21" s="603"/>
      <c r="C21" s="603"/>
      <c r="D21" s="603"/>
      <c r="E21" s="602"/>
      <c r="F21" s="603"/>
      <c r="G21" s="603"/>
      <c r="H21" s="603"/>
    </row>
    <row r="22" spans="1:8" ht="18.75" customHeight="1" x14ac:dyDescent="0.35">
      <c r="A22" s="635" t="s">
        <v>434</v>
      </c>
      <c r="B22" s="642"/>
      <c r="C22" s="613"/>
      <c r="D22" s="613"/>
      <c r="E22" s="614"/>
      <c r="F22" s="603"/>
      <c r="G22" s="603"/>
      <c r="H22" s="603"/>
    </row>
    <row r="23" spans="1:8" ht="18.75" customHeight="1" x14ac:dyDescent="0.35">
      <c r="A23" s="643" t="s">
        <v>281</v>
      </c>
      <c r="B23" s="861" t="s">
        <v>2</v>
      </c>
      <c r="C23" s="861" t="s">
        <v>342</v>
      </c>
      <c r="D23" s="861" t="s">
        <v>429</v>
      </c>
      <c r="E23" s="866" t="s">
        <v>435</v>
      </c>
      <c r="F23" s="861" t="s">
        <v>271</v>
      </c>
      <c r="G23" s="861" t="s">
        <v>275</v>
      </c>
      <c r="H23" s="603"/>
    </row>
    <row r="24" spans="1:8" x14ac:dyDescent="0.35">
      <c r="A24" s="644"/>
      <c r="B24" s="862"/>
      <c r="C24" s="862"/>
      <c r="D24" s="862"/>
      <c r="E24" s="867"/>
      <c r="F24" s="862"/>
      <c r="G24" s="862"/>
      <c r="H24" s="603"/>
    </row>
    <row r="25" spans="1:8" hidden="1" x14ac:dyDescent="0.35">
      <c r="A25" s="600" t="s">
        <v>431</v>
      </c>
      <c r="B25" s="645" t="s">
        <v>280</v>
      </c>
      <c r="C25" s="615"/>
      <c r="D25" s="615"/>
      <c r="E25" s="615"/>
      <c r="F25" s="600"/>
      <c r="G25" s="615"/>
      <c r="H25" s="603"/>
    </row>
    <row r="26" spans="1:8" hidden="1" x14ac:dyDescent="0.35">
      <c r="A26" s="600"/>
      <c r="B26" s="645"/>
      <c r="C26" s="616"/>
      <c r="D26" s="616"/>
      <c r="E26" s="616"/>
      <c r="F26" s="600"/>
      <c r="G26" s="616"/>
      <c r="H26" s="603"/>
    </row>
    <row r="27" spans="1:8" x14ac:dyDescent="0.35">
      <c r="A27" s="600" t="s">
        <v>279</v>
      </c>
      <c r="B27" s="645" t="s">
        <v>280</v>
      </c>
      <c r="C27" s="617">
        <f>Ruumid!C36</f>
        <v>1621.3000000000002</v>
      </c>
      <c r="D27" s="617">
        <f>Tulud50!N33</f>
        <v>827.05000000000007</v>
      </c>
      <c r="E27" s="617">
        <f>Tulud50!O33</f>
        <v>212.45</v>
      </c>
      <c r="F27" s="600">
        <f>Ruumid!C26</f>
        <v>137</v>
      </c>
      <c r="G27" s="615">
        <f>Ruumid!C38</f>
        <v>397.9</v>
      </c>
      <c r="H27" s="603"/>
    </row>
    <row r="28" spans="1:8" x14ac:dyDescent="0.35">
      <c r="A28" s="600"/>
      <c r="B28" s="645"/>
      <c r="C28" s="616">
        <f>C27/$C$27</f>
        <v>1</v>
      </c>
      <c r="D28" s="616">
        <f>D27/$C$27</f>
        <v>0.51011533954234256</v>
      </c>
      <c r="E28" s="616">
        <f>E27/$C$27</f>
        <v>0.13103682230309008</v>
      </c>
      <c r="F28" s="616">
        <f>F27/$C$27</f>
        <v>8.4500092518349459E-2</v>
      </c>
      <c r="G28" s="616">
        <f>G27/$C$27</f>
        <v>0.24542034170110402</v>
      </c>
      <c r="H28" s="603"/>
    </row>
    <row r="29" spans="1:8" x14ac:dyDescent="0.35">
      <c r="A29" s="603"/>
      <c r="B29" s="646"/>
      <c r="C29" s="647"/>
      <c r="D29" s="647"/>
      <c r="E29" s="647"/>
      <c r="F29" s="647"/>
      <c r="G29" s="647"/>
      <c r="H29" s="603"/>
    </row>
    <row r="30" spans="1:8" x14ac:dyDescent="0.35">
      <c r="A30" s="635" t="s">
        <v>459</v>
      </c>
      <c r="B30" s="646"/>
      <c r="C30" s="647"/>
      <c r="D30" s="647"/>
      <c r="E30" s="647"/>
      <c r="F30" s="647"/>
      <c r="G30" s="647"/>
      <c r="H30" s="603"/>
    </row>
    <row r="31" spans="1:8" ht="15" customHeight="1" x14ac:dyDescent="0.35">
      <c r="A31" s="643" t="s">
        <v>281</v>
      </c>
      <c r="B31" s="863" t="s">
        <v>2</v>
      </c>
      <c r="C31" s="865" t="s">
        <v>460</v>
      </c>
      <c r="D31" s="865"/>
      <c r="E31" s="865"/>
      <c r="F31" s="603"/>
      <c r="G31" s="603"/>
      <c r="H31" s="603"/>
    </row>
    <row r="32" spans="1:8" ht="43.5" x14ac:dyDescent="0.35">
      <c r="A32" s="644"/>
      <c r="B32" s="864"/>
      <c r="C32" s="648" t="s">
        <v>461</v>
      </c>
      <c r="D32" s="649" t="s">
        <v>462</v>
      </c>
      <c r="E32" s="648" t="s">
        <v>342</v>
      </c>
      <c r="F32" s="603"/>
      <c r="G32" s="603"/>
      <c r="H32" s="603"/>
    </row>
    <row r="33" spans="1:8" hidden="1" x14ac:dyDescent="0.35">
      <c r="A33" s="600" t="s">
        <v>431</v>
      </c>
      <c r="B33" s="650" t="s">
        <v>280</v>
      </c>
      <c r="C33" s="615"/>
      <c r="D33" s="615"/>
      <c r="E33" s="615"/>
      <c r="F33" s="603"/>
      <c r="G33" s="603"/>
      <c r="H33" s="603"/>
    </row>
    <row r="34" spans="1:8" hidden="1" x14ac:dyDescent="0.35">
      <c r="A34" s="600"/>
      <c r="B34" s="650"/>
      <c r="C34" s="616"/>
      <c r="D34" s="616"/>
      <c r="E34" s="616"/>
      <c r="F34" s="603"/>
      <c r="G34" s="603"/>
      <c r="H34" s="603"/>
    </row>
    <row r="35" spans="1:8" x14ac:dyDescent="0.35">
      <c r="A35" s="600" t="s">
        <v>279</v>
      </c>
      <c r="B35" s="650" t="s">
        <v>280</v>
      </c>
      <c r="C35" s="617">
        <f>Tulud50!N33</f>
        <v>827.05000000000007</v>
      </c>
      <c r="D35" s="617">
        <f>Tulud50!O33+Ruumid!C26</f>
        <v>349.45</v>
      </c>
      <c r="E35" s="615">
        <f>SUM(C35:D35)</f>
        <v>1176.5</v>
      </c>
      <c r="F35" s="603"/>
      <c r="G35" s="603"/>
      <c r="H35" s="603"/>
    </row>
    <row r="36" spans="1:8" x14ac:dyDescent="0.35">
      <c r="A36" s="600"/>
      <c r="B36" s="650"/>
      <c r="C36" s="616">
        <f>C35/E35</f>
        <v>0.70297492562685937</v>
      </c>
      <c r="D36" s="616">
        <f>D35/E35</f>
        <v>0.29702507437314069</v>
      </c>
      <c r="E36" s="616">
        <f>E35/E35</f>
        <v>1</v>
      </c>
      <c r="F36" s="603"/>
      <c r="G36" s="603"/>
      <c r="H36" s="603"/>
    </row>
    <row r="37" spans="1:8" x14ac:dyDescent="0.35">
      <c r="A37" s="600" t="s">
        <v>342</v>
      </c>
      <c r="B37" s="651" t="s">
        <v>280</v>
      </c>
      <c r="C37" s="652">
        <f>C33+C35</f>
        <v>827.05000000000007</v>
      </c>
      <c r="D37" s="652">
        <f>D33+D35</f>
        <v>349.45</v>
      </c>
      <c r="E37" s="652">
        <f>E33+E35</f>
        <v>1176.5</v>
      </c>
      <c r="F37" s="603"/>
      <c r="G37" s="603"/>
      <c r="H37" s="603"/>
    </row>
    <row r="38" spans="1:8" x14ac:dyDescent="0.35">
      <c r="A38" s="600"/>
      <c r="B38" s="650"/>
      <c r="C38" s="616">
        <f>C37/E37</f>
        <v>0.70297492562685937</v>
      </c>
      <c r="D38" s="616">
        <f>D37/E37</f>
        <v>0.29702507437314069</v>
      </c>
      <c r="E38" s="616">
        <f>E37/E37</f>
        <v>1</v>
      </c>
      <c r="F38" s="603"/>
      <c r="G38" s="603"/>
      <c r="H38" s="603"/>
    </row>
    <row r="39" spans="1:8" x14ac:dyDescent="0.35">
      <c r="A39" s="603"/>
      <c r="B39" s="603"/>
      <c r="C39" s="603"/>
      <c r="D39" s="603"/>
      <c r="E39" s="602"/>
      <c r="F39" s="603"/>
      <c r="G39" s="603"/>
      <c r="H39" s="603"/>
    </row>
    <row r="40" spans="1:8" x14ac:dyDescent="0.35">
      <c r="A40" s="635" t="s">
        <v>436</v>
      </c>
      <c r="B40" s="603"/>
      <c r="C40" s="603"/>
      <c r="D40" s="603"/>
      <c r="E40" s="602"/>
      <c r="F40" s="603"/>
      <c r="G40" s="603" t="s">
        <v>441</v>
      </c>
      <c r="H40" s="603"/>
    </row>
    <row r="41" spans="1:8" ht="43.5" x14ac:dyDescent="0.35">
      <c r="A41" s="653" t="s">
        <v>281</v>
      </c>
      <c r="B41" s="648" t="str">
        <f>B23</f>
        <v>Ühik</v>
      </c>
      <c r="C41" s="648" t="s">
        <v>438</v>
      </c>
      <c r="D41" s="649" t="s">
        <v>439</v>
      </c>
      <c r="E41" s="649" t="s">
        <v>440</v>
      </c>
      <c r="F41" s="603"/>
      <c r="G41" s="648" t="s">
        <v>442</v>
      </c>
      <c r="H41" s="648" t="s">
        <v>443</v>
      </c>
    </row>
    <row r="42" spans="1:8" hidden="1" x14ac:dyDescent="0.35">
      <c r="A42" s="600" t="str">
        <f>A33</f>
        <v>Stuudio</v>
      </c>
      <c r="B42" s="600" t="s">
        <v>437</v>
      </c>
      <c r="C42" s="654"/>
      <c r="D42" s="600"/>
      <c r="E42" s="615"/>
      <c r="F42" s="603"/>
      <c r="G42" s="654"/>
      <c r="H42" s="600"/>
    </row>
    <row r="43" spans="1:8" x14ac:dyDescent="0.35">
      <c r="A43" s="600" t="str">
        <f>A35</f>
        <v>Inkubaator</v>
      </c>
      <c r="B43" s="600" t="s">
        <v>437</v>
      </c>
      <c r="C43" s="654">
        <v>1</v>
      </c>
      <c r="D43" s="600">
        <f>C43*8</f>
        <v>8</v>
      </c>
      <c r="E43" s="615">
        <f>D43*250</f>
        <v>2000</v>
      </c>
      <c r="F43" s="603"/>
      <c r="G43" s="654">
        <v>3</v>
      </c>
      <c r="H43" s="600">
        <f>G43*250</f>
        <v>750</v>
      </c>
    </row>
    <row r="44" spans="1:8" x14ac:dyDescent="0.35">
      <c r="A44" s="603"/>
      <c r="B44" s="603"/>
      <c r="C44" s="603"/>
      <c r="D44" s="603"/>
      <c r="E44" s="602"/>
      <c r="F44" s="603"/>
      <c r="G44" s="603"/>
      <c r="H44" s="603"/>
    </row>
    <row r="45" spans="1:8" x14ac:dyDescent="0.35">
      <c r="A45" s="635" t="s">
        <v>444</v>
      </c>
      <c r="B45" s="603"/>
      <c r="C45" s="603"/>
      <c r="D45" s="603"/>
      <c r="E45" s="603"/>
      <c r="F45" s="603"/>
      <c r="G45" s="603"/>
      <c r="H45" s="603"/>
    </row>
    <row r="46" spans="1:8" ht="29" x14ac:dyDescent="0.35">
      <c r="A46" s="653" t="s">
        <v>281</v>
      </c>
      <c r="B46" s="648" t="s">
        <v>446</v>
      </c>
      <c r="C46" s="648" t="s">
        <v>445</v>
      </c>
      <c r="D46" s="603"/>
      <c r="E46" s="603"/>
      <c r="F46" s="603"/>
      <c r="G46" s="603"/>
      <c r="H46" s="603"/>
    </row>
    <row r="47" spans="1:8" hidden="1" x14ac:dyDescent="0.35">
      <c r="A47" s="600" t="str">
        <f>A42</f>
        <v>Stuudio</v>
      </c>
      <c r="B47" s="600"/>
      <c r="C47" s="617"/>
      <c r="D47" s="603"/>
      <c r="E47" s="603"/>
      <c r="F47" s="603"/>
      <c r="G47" s="603"/>
      <c r="H47" s="603"/>
    </row>
    <row r="48" spans="1:8" x14ac:dyDescent="0.35">
      <c r="A48" s="600" t="str">
        <f>A43</f>
        <v>Inkubaator</v>
      </c>
      <c r="B48" s="600">
        <v>10</v>
      </c>
      <c r="C48" s="617">
        <f>C35/B48</f>
        <v>82.705000000000013</v>
      </c>
      <c r="D48" s="603"/>
      <c r="E48" s="603"/>
      <c r="F48" s="603"/>
      <c r="G48" s="603"/>
      <c r="H48" s="603"/>
    </row>
    <row r="49" spans="1:8" x14ac:dyDescent="0.35">
      <c r="A49" s="600" t="s">
        <v>342</v>
      </c>
      <c r="B49" s="600"/>
      <c r="C49" s="617">
        <f>SUM(C47:C48)</f>
        <v>82.705000000000013</v>
      </c>
      <c r="D49" s="603"/>
      <c r="E49" s="603"/>
      <c r="F49" s="603"/>
      <c r="G49" s="603"/>
      <c r="H49" s="603"/>
    </row>
    <row r="50" spans="1:8" x14ac:dyDescent="0.35">
      <c r="E50" s="366"/>
    </row>
  </sheetData>
  <mergeCells count="8">
    <mergeCell ref="F23:F24"/>
    <mergeCell ref="G23:G24"/>
    <mergeCell ref="B31:B32"/>
    <mergeCell ref="C31:E31"/>
    <mergeCell ref="B23:B24"/>
    <mergeCell ref="C23:C24"/>
    <mergeCell ref="D23:D24"/>
    <mergeCell ref="E23:E2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77"/>
  <sheetViews>
    <sheetView topLeftCell="A11" workbookViewId="0">
      <selection activeCell="B31" sqref="B31"/>
    </sheetView>
  </sheetViews>
  <sheetFormatPr defaultColWidth="9.1796875" defaultRowHeight="14.5" outlineLevelRow="1" outlineLevelCol="1" x14ac:dyDescent="0.35"/>
  <cols>
    <col min="1" max="1" width="32.81640625" style="365" customWidth="1"/>
    <col min="2" max="2" width="15.1796875" style="365" customWidth="1" outlineLevel="1"/>
    <col min="3" max="3" width="9.26953125" style="365" customWidth="1" outlineLevel="1"/>
    <col min="4" max="5" width="14.1796875" style="365" customWidth="1"/>
    <col min="6" max="6" width="14.81640625" style="365" hidden="1" customWidth="1" outlineLevel="1"/>
    <col min="7" max="7" width="17.453125" style="365" hidden="1" customWidth="1" outlineLevel="1"/>
    <col min="8" max="8" width="16.1796875" style="365" hidden="1" customWidth="1" outlineLevel="1"/>
    <col min="9" max="9" width="11.81640625" style="365" hidden="1" customWidth="1" outlineLevel="1"/>
    <col min="10" max="10" width="21.453125" style="365" hidden="1" customWidth="1" outlineLevel="1"/>
    <col min="11" max="11" width="17" style="365" hidden="1" customWidth="1" outlineLevel="1"/>
    <col min="12" max="12" width="9.1796875" style="365" collapsed="1"/>
    <col min="13" max="16384" width="9.1796875" style="365"/>
  </cols>
  <sheetData>
    <row r="1" spans="1:18" x14ac:dyDescent="0.35">
      <c r="A1" s="671" t="s">
        <v>9</v>
      </c>
      <c r="B1" s="603"/>
      <c r="C1" s="603"/>
      <c r="D1" s="655"/>
      <c r="E1" s="655"/>
      <c r="F1" s="497"/>
      <c r="G1" s="492">
        <f>'5. Abikõlblik kulu'!D13</f>
        <v>0</v>
      </c>
      <c r="H1"/>
      <c r="I1"/>
      <c r="J1"/>
      <c r="K1"/>
      <c r="L1"/>
      <c r="M1"/>
      <c r="N1"/>
      <c r="O1"/>
      <c r="P1"/>
      <c r="Q1"/>
      <c r="R1"/>
    </row>
    <row r="2" spans="1:18" ht="43.5" x14ac:dyDescent="0.35">
      <c r="A2" s="600"/>
      <c r="B2" s="672"/>
      <c r="C2" s="606"/>
      <c r="D2" s="648" t="s">
        <v>476</v>
      </c>
      <c r="E2" s="648" t="s">
        <v>477</v>
      </c>
      <c r="F2" s="487" t="s">
        <v>285</v>
      </c>
      <c r="G2" s="487" t="s">
        <v>286</v>
      </c>
      <c r="H2"/>
      <c r="I2"/>
      <c r="J2"/>
      <c r="K2"/>
      <c r="L2"/>
      <c r="M2"/>
      <c r="N2"/>
      <c r="O2"/>
      <c r="P2"/>
      <c r="Q2"/>
      <c r="R2"/>
    </row>
    <row r="3" spans="1:18" x14ac:dyDescent="0.35">
      <c r="A3" s="673" t="s">
        <v>349</v>
      </c>
      <c r="B3" s="640"/>
      <c r="C3" s="674"/>
      <c r="D3" s="674"/>
      <c r="E3" s="674"/>
      <c r="F3" s="488"/>
      <c r="G3" s="488"/>
      <c r="H3"/>
      <c r="I3"/>
      <c r="J3"/>
      <c r="K3"/>
      <c r="L3"/>
      <c r="M3"/>
      <c r="N3"/>
      <c r="O3"/>
      <c r="P3"/>
      <c r="Q3"/>
      <c r="R3"/>
    </row>
    <row r="4" spans="1:18" x14ac:dyDescent="0.35">
      <c r="A4" s="640" t="s">
        <v>411</v>
      </c>
      <c r="B4" s="640"/>
      <c r="C4" s="674"/>
      <c r="D4" s="674">
        <f>E4/12</f>
        <v>672.86094733333346</v>
      </c>
      <c r="E4" s="674">
        <f>E20+E14+E5</f>
        <v>8074.3313680000019</v>
      </c>
      <c r="F4" s="505">
        <f t="shared" ref="F4:G4" si="0">F20+F14+F5</f>
        <v>5743.0346326992367</v>
      </c>
      <c r="G4" s="505">
        <f t="shared" si="0"/>
        <v>2331.2967353007657</v>
      </c>
      <c r="H4" s="506">
        <f t="shared" ref="H4:H11" si="1">G4/$G$62</f>
        <v>1.7681656854824652E-2</v>
      </c>
      <c r="I4"/>
      <c r="J4"/>
      <c r="K4"/>
      <c r="L4"/>
      <c r="M4"/>
      <c r="N4"/>
      <c r="O4"/>
      <c r="P4"/>
      <c r="Q4"/>
      <c r="R4"/>
    </row>
    <row r="5" spans="1:18" x14ac:dyDescent="0.35">
      <c r="A5" s="639" t="s">
        <v>287</v>
      </c>
      <c r="B5" s="675" t="s">
        <v>548</v>
      </c>
      <c r="C5" s="674">
        <f>C6+C9</f>
        <v>75.228320000000011</v>
      </c>
      <c r="D5" s="676"/>
      <c r="E5" s="674">
        <f>E6+E9</f>
        <v>4722.8339296000013</v>
      </c>
      <c r="F5" s="507">
        <f>F6+F9</f>
        <v>3320.0338304085685</v>
      </c>
      <c r="G5" s="507">
        <f>E5-F5</f>
        <v>1402.8000991914328</v>
      </c>
      <c r="H5" s="506">
        <f t="shared" si="1"/>
        <v>1.0639499302784766E-2</v>
      </c>
      <c r="I5"/>
      <c r="J5"/>
      <c r="K5"/>
      <c r="L5"/>
      <c r="M5"/>
      <c r="N5"/>
      <c r="O5"/>
      <c r="P5"/>
      <c r="Q5"/>
      <c r="R5"/>
    </row>
    <row r="6" spans="1:18" outlineLevel="1" x14ac:dyDescent="0.35">
      <c r="A6" s="677" t="s">
        <v>431</v>
      </c>
      <c r="B6" s="675" t="s">
        <v>548</v>
      </c>
      <c r="C6" s="678">
        <f>SUM(C7:C8)</f>
        <v>0</v>
      </c>
      <c r="D6" s="676"/>
      <c r="E6" s="678">
        <f>SUM(E7:E8)</f>
        <v>0</v>
      </c>
      <c r="F6" s="508">
        <f>SUM(F7:F8)</f>
        <v>0</v>
      </c>
      <c r="G6" s="508">
        <f>E6-F6</f>
        <v>0</v>
      </c>
      <c r="H6" s="506">
        <f t="shared" si="1"/>
        <v>0</v>
      </c>
      <c r="I6"/>
      <c r="J6"/>
      <c r="K6"/>
      <c r="L6"/>
      <c r="M6"/>
      <c r="N6"/>
      <c r="O6"/>
      <c r="P6"/>
      <c r="Q6"/>
      <c r="R6"/>
    </row>
    <row r="7" spans="1:18" outlineLevel="1" x14ac:dyDescent="0.35">
      <c r="A7" s="679" t="s">
        <v>478</v>
      </c>
      <c r="B7" s="675" t="s">
        <v>548</v>
      </c>
      <c r="C7" s="678"/>
      <c r="D7" s="680"/>
      <c r="E7" s="678">
        <f>C7*Eeldused50!$C$4</f>
        <v>0</v>
      </c>
      <c r="F7" s="508">
        <f>E7</f>
        <v>0</v>
      </c>
      <c r="G7" s="508">
        <f>E7-F7</f>
        <v>0</v>
      </c>
      <c r="H7" s="506">
        <f t="shared" si="1"/>
        <v>0</v>
      </c>
      <c r="I7"/>
      <c r="J7"/>
      <c r="K7"/>
      <c r="L7"/>
      <c r="M7"/>
      <c r="N7"/>
      <c r="O7"/>
      <c r="P7"/>
      <c r="Q7"/>
      <c r="R7"/>
    </row>
    <row r="8" spans="1:18" outlineLevel="1" x14ac:dyDescent="0.35">
      <c r="A8" s="681" t="s">
        <v>479</v>
      </c>
      <c r="B8" s="675" t="s">
        <v>548</v>
      </c>
      <c r="C8" s="678"/>
      <c r="D8" s="680"/>
      <c r="E8" s="678">
        <f>C8*Eeldused50!$C$4</f>
        <v>0</v>
      </c>
      <c r="F8" s="508"/>
      <c r="G8" s="508">
        <f>E8-F8</f>
        <v>0</v>
      </c>
      <c r="H8" s="506">
        <f t="shared" si="1"/>
        <v>0</v>
      </c>
      <c r="I8"/>
      <c r="J8"/>
      <c r="K8"/>
      <c r="L8"/>
      <c r="M8"/>
      <c r="N8"/>
      <c r="O8"/>
      <c r="P8"/>
      <c r="Q8"/>
      <c r="R8"/>
    </row>
    <row r="9" spans="1:18" outlineLevel="1" x14ac:dyDescent="0.35">
      <c r="A9" s="677" t="s">
        <v>279</v>
      </c>
      <c r="B9" s="675" t="s">
        <v>548</v>
      </c>
      <c r="C9" s="678">
        <f>SUM(C10:C13)</f>
        <v>75.228320000000011</v>
      </c>
      <c r="D9" s="680"/>
      <c r="E9" s="678">
        <f>SUM(E10:E13)</f>
        <v>4722.8339296000013</v>
      </c>
      <c r="F9" s="508">
        <f>SUM(F10:F13)</f>
        <v>3320.0338304085685</v>
      </c>
      <c r="G9" s="508">
        <f>SUM(G10:G13)</f>
        <v>1402.8000991914323</v>
      </c>
      <c r="H9" s="506">
        <f t="shared" si="1"/>
        <v>1.0639499302784763E-2</v>
      </c>
      <c r="I9"/>
      <c r="J9"/>
      <c r="K9"/>
      <c r="L9"/>
      <c r="M9"/>
      <c r="N9"/>
      <c r="O9"/>
      <c r="P9"/>
      <c r="Q9"/>
      <c r="R9"/>
    </row>
    <row r="10" spans="1:18" outlineLevel="1" x14ac:dyDescent="0.35">
      <c r="A10" s="679" t="s">
        <v>478</v>
      </c>
      <c r="B10" s="675" t="s">
        <v>548</v>
      </c>
      <c r="C10" s="720">
        <f>Eeldused50!C14*(Eeldused50!C36*Ruumid!B36)/1000</f>
        <v>52.883622657033584</v>
      </c>
      <c r="D10" s="680"/>
      <c r="E10" s="678">
        <f>C10*Eeldused50!$C$4</f>
        <v>3320.0338304085685</v>
      </c>
      <c r="F10" s="508">
        <f>E10</f>
        <v>3320.0338304085685</v>
      </c>
      <c r="G10" s="508">
        <f>E10-F10</f>
        <v>0</v>
      </c>
      <c r="H10" s="506">
        <f t="shared" si="1"/>
        <v>0</v>
      </c>
      <c r="I10"/>
      <c r="J10"/>
      <c r="K10"/>
      <c r="L10"/>
      <c r="M10"/>
      <c r="N10"/>
      <c r="O10"/>
      <c r="P10"/>
      <c r="Q10"/>
      <c r="R10"/>
    </row>
    <row r="11" spans="1:18" ht="17.25" customHeight="1" outlineLevel="1" x14ac:dyDescent="0.35">
      <c r="A11" s="681" t="s">
        <v>479</v>
      </c>
      <c r="B11" s="675" t="s">
        <v>548</v>
      </c>
      <c r="C11" s="720">
        <f>Eeldused50!D14*(Eeldused50!D36*Ruumid!B36)/1000</f>
        <v>22.344697342966427</v>
      </c>
      <c r="D11" s="680"/>
      <c r="E11" s="678">
        <f>C11*Eeldused50!$C$4</f>
        <v>1402.8000991914323</v>
      </c>
      <c r="F11" s="508"/>
      <c r="G11" s="508">
        <f>E11</f>
        <v>1402.8000991914323</v>
      </c>
      <c r="H11" s="506">
        <f t="shared" si="1"/>
        <v>1.0639499302784763E-2</v>
      </c>
      <c r="I11"/>
      <c r="J11"/>
      <c r="K11"/>
      <c r="L11"/>
      <c r="M11"/>
      <c r="N11"/>
      <c r="O11"/>
      <c r="P11"/>
      <c r="Q11"/>
      <c r="R11"/>
    </row>
    <row r="12" spans="1:18" ht="14.25" customHeight="1" outlineLevel="1" x14ac:dyDescent="0.35">
      <c r="A12" s="679"/>
      <c r="B12" s="675"/>
      <c r="C12" s="678"/>
      <c r="D12" s="680"/>
      <c r="E12" s="678"/>
      <c r="F12" s="509"/>
      <c r="G12" s="510"/>
      <c r="H12" s="506"/>
      <c r="I12"/>
      <c r="J12"/>
      <c r="K12"/>
      <c r="L12"/>
      <c r="M12"/>
      <c r="N12"/>
      <c r="O12"/>
      <c r="P12"/>
      <c r="Q12"/>
      <c r="R12"/>
    </row>
    <row r="13" spans="1:18" outlineLevel="1" x14ac:dyDescent="0.35">
      <c r="A13" s="679"/>
      <c r="B13" s="675"/>
      <c r="C13" s="678"/>
      <c r="D13" s="680"/>
      <c r="E13" s="678"/>
      <c r="F13" s="509"/>
      <c r="G13" s="510"/>
      <c r="H13" s="506"/>
      <c r="I13"/>
      <c r="J13"/>
      <c r="K13"/>
      <c r="L13"/>
      <c r="M13"/>
      <c r="N13"/>
      <c r="O13"/>
      <c r="P13"/>
      <c r="Q13"/>
      <c r="R13"/>
    </row>
    <row r="14" spans="1:18" x14ac:dyDescent="0.35">
      <c r="A14" s="639" t="s">
        <v>288</v>
      </c>
      <c r="B14" s="675" t="s">
        <v>480</v>
      </c>
      <c r="C14" s="674">
        <f>C15+C17</f>
        <v>4226.5500000000011</v>
      </c>
      <c r="D14" s="676"/>
      <c r="E14" s="674">
        <f>E15+E17</f>
        <v>631.86922500000026</v>
      </c>
      <c r="F14" s="507">
        <f>F15+F17</f>
        <v>511.17036124309408</v>
      </c>
      <c r="G14" s="507">
        <f>G15+G17</f>
        <v>120.69886375690614</v>
      </c>
      <c r="H14" s="511">
        <f t="shared" ref="H14:H39" si="2">G14/$G$62</f>
        <v>9.1543725832975696E-4</v>
      </c>
      <c r="I14"/>
      <c r="J14"/>
      <c r="K14"/>
      <c r="L14"/>
      <c r="M14"/>
      <c r="N14"/>
      <c r="O14"/>
      <c r="P14"/>
      <c r="Q14"/>
      <c r="R14"/>
    </row>
    <row r="15" spans="1:18" hidden="1" outlineLevel="1" x14ac:dyDescent="0.35">
      <c r="A15" s="677" t="str">
        <f>A6</f>
        <v>Stuudio</v>
      </c>
      <c r="B15" s="675" t="s">
        <v>481</v>
      </c>
      <c r="C15" s="678">
        <f>C16</f>
        <v>0</v>
      </c>
      <c r="D15" s="680"/>
      <c r="E15" s="678">
        <f>E16</f>
        <v>0</v>
      </c>
      <c r="F15" s="508">
        <f>F16</f>
        <v>0</v>
      </c>
      <c r="G15" s="508">
        <f>G16</f>
        <v>0</v>
      </c>
      <c r="H15" s="511">
        <f t="shared" si="2"/>
        <v>0</v>
      </c>
      <c r="I15"/>
      <c r="J15"/>
      <c r="K15"/>
      <c r="L15"/>
      <c r="M15"/>
      <c r="N15"/>
      <c r="O15"/>
      <c r="P15"/>
      <c r="Q15"/>
      <c r="R15"/>
    </row>
    <row r="16" spans="1:18" hidden="1" outlineLevel="1" x14ac:dyDescent="0.35">
      <c r="A16" s="679" t="s">
        <v>478</v>
      </c>
      <c r="B16" s="675" t="s">
        <v>481</v>
      </c>
      <c r="C16" s="678">
        <f>Eeldused50!C16*Eeldused50!H42*(Eeldused50!C25*Eeldused50!C34)/1000</f>
        <v>0</v>
      </c>
      <c r="D16" s="680"/>
      <c r="E16" s="678">
        <f>C16*Eeldused50!C5</f>
        <v>0</v>
      </c>
      <c r="F16" s="508">
        <f>E16</f>
        <v>0</v>
      </c>
      <c r="G16" s="508"/>
      <c r="H16" s="511">
        <f t="shared" si="2"/>
        <v>0</v>
      </c>
      <c r="I16"/>
      <c r="J16"/>
      <c r="K16"/>
      <c r="L16"/>
      <c r="M16"/>
      <c r="N16"/>
      <c r="O16"/>
      <c r="P16"/>
      <c r="Q16"/>
      <c r="R16"/>
    </row>
    <row r="17" spans="1:18" hidden="1" outlineLevel="1" x14ac:dyDescent="0.35">
      <c r="A17" s="677" t="str">
        <f>A9</f>
        <v>Inkubaator</v>
      </c>
      <c r="B17" s="675" t="s">
        <v>481</v>
      </c>
      <c r="C17" s="678">
        <f>SUM(C18:C19)</f>
        <v>4226.5500000000011</v>
      </c>
      <c r="D17" s="680"/>
      <c r="E17" s="678">
        <f>SUM(E18:E19)</f>
        <v>631.86922500000026</v>
      </c>
      <c r="F17" s="508">
        <f>SUM(F18:F19)</f>
        <v>511.17036124309408</v>
      </c>
      <c r="G17" s="508">
        <f>SUM(G18:G19)</f>
        <v>120.69886375690614</v>
      </c>
      <c r="H17" s="511">
        <f t="shared" si="2"/>
        <v>9.1543725832975696E-4</v>
      </c>
      <c r="I17"/>
      <c r="J17"/>
      <c r="K17"/>
      <c r="L17"/>
      <c r="M17"/>
      <c r="N17"/>
      <c r="O17"/>
      <c r="P17"/>
      <c r="Q17"/>
      <c r="R17"/>
    </row>
    <row r="18" spans="1:18" hidden="1" outlineLevel="1" x14ac:dyDescent="0.35">
      <c r="A18" s="679" t="s">
        <v>478</v>
      </c>
      <c r="B18" s="675" t="s">
        <v>481</v>
      </c>
      <c r="C18" s="678">
        <f>Eeldused50!C17*Eeldused50!H43*(Eeldused50!C27*Eeldused50!C36)/1000</f>
        <v>3419.1997407564818</v>
      </c>
      <c r="D18" s="680"/>
      <c r="E18" s="678">
        <f>C18*Eeldused50!$C$5</f>
        <v>511.17036124309408</v>
      </c>
      <c r="F18" s="508">
        <f>E18</f>
        <v>511.17036124309408</v>
      </c>
      <c r="G18" s="508"/>
      <c r="H18" s="511">
        <f t="shared" si="2"/>
        <v>0</v>
      </c>
      <c r="I18"/>
      <c r="J18"/>
      <c r="K18"/>
      <c r="L18"/>
      <c r="M18"/>
      <c r="N18"/>
      <c r="O18"/>
      <c r="P18"/>
      <c r="Q18"/>
      <c r="R18"/>
    </row>
    <row r="19" spans="1:18" hidden="1" outlineLevel="1" x14ac:dyDescent="0.35">
      <c r="A19" s="681" t="s">
        <v>482</v>
      </c>
      <c r="B19" s="675" t="s">
        <v>481</v>
      </c>
      <c r="C19" s="678">
        <f>Eeldused50!C17*Eeldused50!H43*(Eeldused50!C27*Eeldused50!D36-Eeldused50!E27)/1000</f>
        <v>807.35025924351919</v>
      </c>
      <c r="D19" s="680"/>
      <c r="E19" s="678">
        <f>C19*Eeldused50!C5</f>
        <v>120.69886375690614</v>
      </c>
      <c r="F19" s="508"/>
      <c r="G19" s="508">
        <f>E19-F19</f>
        <v>120.69886375690614</v>
      </c>
      <c r="H19" s="511">
        <f t="shared" si="2"/>
        <v>9.1543725832975696E-4</v>
      </c>
      <c r="I19"/>
      <c r="J19"/>
      <c r="K19"/>
      <c r="L19"/>
      <c r="M19"/>
      <c r="N19"/>
      <c r="O19"/>
      <c r="P19"/>
      <c r="Q19"/>
      <c r="R19"/>
    </row>
    <row r="20" spans="1:18" collapsed="1" x14ac:dyDescent="0.35">
      <c r="A20" s="639" t="s">
        <v>398</v>
      </c>
      <c r="B20" s="640" t="s">
        <v>388</v>
      </c>
      <c r="C20" s="674">
        <f>SUM(C21:C22)</f>
        <v>1042.0830000000003</v>
      </c>
      <c r="D20" s="674"/>
      <c r="E20" s="674">
        <f>C20*Eeldused50!C8+C21*Eeldused50!C6+C22*Eeldused50!C20</f>
        <v>2719.6282134000003</v>
      </c>
      <c r="F20" s="494">
        <f>E20*Eeldused50!C38</f>
        <v>1911.8304410475737</v>
      </c>
      <c r="G20" s="495">
        <f>E20*Eeldused50!D38</f>
        <v>807.79777235242682</v>
      </c>
      <c r="H20" s="511">
        <f t="shared" si="2"/>
        <v>6.1267202937101287E-3</v>
      </c>
      <c r="I20"/>
      <c r="J20"/>
      <c r="K20"/>
      <c r="L20"/>
      <c r="M20"/>
      <c r="N20"/>
      <c r="O20"/>
      <c r="P20"/>
      <c r="Q20"/>
      <c r="R20"/>
    </row>
    <row r="21" spans="1:18" hidden="1" outlineLevel="1" x14ac:dyDescent="0.35">
      <c r="A21" s="679" t="s">
        <v>399</v>
      </c>
      <c r="B21" s="640" t="s">
        <v>388</v>
      </c>
      <c r="C21" s="674">
        <f>Eeldused50!C19*Eeldused50!C49*12</f>
        <v>625.24980000000016</v>
      </c>
      <c r="D21" s="674"/>
      <c r="E21" s="674"/>
      <c r="F21" s="493"/>
      <c r="G21" s="493"/>
      <c r="H21" s="511">
        <f t="shared" si="2"/>
        <v>0</v>
      </c>
      <c r="I21"/>
      <c r="J21"/>
      <c r="K21"/>
      <c r="L21"/>
      <c r="M21"/>
      <c r="N21"/>
      <c r="O21"/>
      <c r="P21"/>
      <c r="Q21"/>
      <c r="R21"/>
    </row>
    <row r="22" spans="1:18" hidden="1" outlineLevel="1" x14ac:dyDescent="0.35">
      <c r="A22" s="679" t="s">
        <v>400</v>
      </c>
      <c r="B22" s="640" t="s">
        <v>388</v>
      </c>
      <c r="C22" s="674">
        <f>Eeldused50!C20*Eeldused50!C49*12</f>
        <v>416.83320000000009</v>
      </c>
      <c r="D22" s="674"/>
      <c r="E22" s="674"/>
      <c r="F22" s="493"/>
      <c r="G22" s="493"/>
      <c r="H22" s="511">
        <f t="shared" si="2"/>
        <v>0</v>
      </c>
      <c r="I22"/>
      <c r="J22"/>
      <c r="K22"/>
      <c r="L22"/>
      <c r="M22"/>
      <c r="N22"/>
      <c r="O22"/>
      <c r="P22"/>
      <c r="Q22"/>
      <c r="R22"/>
    </row>
    <row r="23" spans="1:18" collapsed="1" x14ac:dyDescent="0.35">
      <c r="A23" s="639"/>
      <c r="B23" s="640"/>
      <c r="C23" s="674"/>
      <c r="D23" s="600"/>
      <c r="E23" s="674"/>
      <c r="F23" s="509"/>
      <c r="G23" s="510"/>
      <c r="H23" s="506">
        <f t="shared" si="2"/>
        <v>0</v>
      </c>
      <c r="I23"/>
      <c r="J23"/>
      <c r="K23"/>
      <c r="L23"/>
      <c r="M23"/>
      <c r="N23"/>
      <c r="O23"/>
      <c r="P23"/>
      <c r="Q23"/>
      <c r="R23"/>
    </row>
    <row r="24" spans="1:18" x14ac:dyDescent="0.35">
      <c r="A24" s="607"/>
      <c r="B24" s="675"/>
      <c r="C24" s="674"/>
      <c r="D24" s="600"/>
      <c r="E24" s="674"/>
      <c r="F24" s="512"/>
      <c r="G24" s="510"/>
      <c r="H24" s="506">
        <f t="shared" si="2"/>
        <v>0</v>
      </c>
      <c r="I24"/>
      <c r="J24"/>
      <c r="K24"/>
      <c r="L24"/>
      <c r="M24"/>
      <c r="N24"/>
      <c r="O24"/>
      <c r="P24"/>
      <c r="Q24"/>
      <c r="R24"/>
    </row>
    <row r="25" spans="1:18" ht="29.15" customHeight="1" x14ac:dyDescent="0.35">
      <c r="A25" s="640" t="s">
        <v>410</v>
      </c>
      <c r="B25" s="639"/>
      <c r="C25" s="676"/>
      <c r="D25" s="674">
        <f>SUM(D26:D28)</f>
        <v>5655.7260000000006</v>
      </c>
      <c r="E25" s="674">
        <f>SUM(E26:E28)</f>
        <v>67868.712</v>
      </c>
      <c r="F25" s="512">
        <f>SUM(F26:F28)</f>
        <v>0</v>
      </c>
      <c r="G25" s="496">
        <f>SUM(G26:G28)</f>
        <v>67868.712</v>
      </c>
      <c r="H25" s="506">
        <f t="shared" si="2"/>
        <v>0.51474840529388954</v>
      </c>
      <c r="I25"/>
      <c r="J25"/>
      <c r="L25"/>
      <c r="M25"/>
      <c r="N25"/>
      <c r="O25"/>
      <c r="P25"/>
      <c r="Q25"/>
      <c r="R25"/>
    </row>
    <row r="26" spans="1:18" ht="17.5" customHeight="1" outlineLevel="1" x14ac:dyDescent="0.35">
      <c r="A26" s="639" t="s">
        <v>396</v>
      </c>
      <c r="B26" s="682" t="s">
        <v>550</v>
      </c>
      <c r="C26" s="674">
        <v>2818</v>
      </c>
      <c r="D26" s="674">
        <f>C26*1.338*K26</f>
        <v>1885.2420000000002</v>
      </c>
      <c r="E26" s="674">
        <f>D26*12</f>
        <v>22622.904000000002</v>
      </c>
      <c r="F26" s="513"/>
      <c r="G26" s="496">
        <f>E26</f>
        <v>22622.904000000002</v>
      </c>
      <c r="H26" s="506">
        <f t="shared" si="2"/>
        <v>0.17158280176462987</v>
      </c>
      <c r="I26"/>
      <c r="J26" t="s">
        <v>495</v>
      </c>
      <c r="K26" s="697">
        <v>0.5</v>
      </c>
      <c r="L26"/>
      <c r="M26"/>
      <c r="N26"/>
      <c r="O26"/>
      <c r="P26"/>
      <c r="Q26"/>
      <c r="R26"/>
    </row>
    <row r="27" spans="1:18" ht="26.15" customHeight="1" outlineLevel="1" x14ac:dyDescent="0.35">
      <c r="A27" s="639" t="s">
        <v>397</v>
      </c>
      <c r="B27" s="682" t="s">
        <v>550</v>
      </c>
      <c r="C27" s="674">
        <v>2818</v>
      </c>
      <c r="D27" s="674">
        <f>C27*1.338*K27</f>
        <v>1885.2420000000002</v>
      </c>
      <c r="E27" s="674">
        <f>D27*12</f>
        <v>22622.904000000002</v>
      </c>
      <c r="F27" s="513"/>
      <c r="G27" s="496">
        <f>E27</f>
        <v>22622.904000000002</v>
      </c>
      <c r="H27" s="506">
        <f t="shared" si="2"/>
        <v>0.17158280176462987</v>
      </c>
      <c r="I27"/>
      <c r="J27"/>
      <c r="K27" s="697">
        <v>0.5</v>
      </c>
      <c r="L27"/>
      <c r="M27"/>
      <c r="N27"/>
      <c r="O27"/>
      <c r="P27"/>
      <c r="Q27"/>
      <c r="R27"/>
    </row>
    <row r="28" spans="1:18" ht="13.5" customHeight="1" outlineLevel="1" x14ac:dyDescent="0.35">
      <c r="A28" s="639" t="s">
        <v>505</v>
      </c>
      <c r="B28" s="682" t="s">
        <v>550</v>
      </c>
      <c r="C28" s="674">
        <v>2818</v>
      </c>
      <c r="D28" s="674">
        <f>C28*1.338*K28</f>
        <v>1885.2420000000002</v>
      </c>
      <c r="E28" s="674">
        <f>D28*12</f>
        <v>22622.904000000002</v>
      </c>
      <c r="F28" s="513"/>
      <c r="G28" s="496">
        <f>E28</f>
        <v>22622.904000000002</v>
      </c>
      <c r="H28" s="506">
        <f t="shared" si="2"/>
        <v>0.17158280176462987</v>
      </c>
      <c r="I28"/>
      <c r="J28"/>
      <c r="K28" s="697">
        <v>0.5</v>
      </c>
      <c r="L28"/>
      <c r="M28"/>
      <c r="N28"/>
      <c r="O28"/>
      <c r="P28"/>
      <c r="Q28"/>
      <c r="R28"/>
    </row>
    <row r="29" spans="1:18" x14ac:dyDescent="0.35">
      <c r="A29" s="640" t="s">
        <v>408</v>
      </c>
      <c r="B29" s="683"/>
      <c r="C29" s="684"/>
      <c r="D29" s="674">
        <f>E29/12</f>
        <v>450</v>
      </c>
      <c r="E29" s="684">
        <f>SUM(E30:E30)</f>
        <v>5400</v>
      </c>
      <c r="F29" s="512">
        <f>SUM(F30:F30)</f>
        <v>0</v>
      </c>
      <c r="G29" s="496">
        <f>SUM(G30:G30)</f>
        <v>5400</v>
      </c>
      <c r="H29" s="506">
        <f t="shared" si="2"/>
        <v>4.0956153530466347E-2</v>
      </c>
      <c r="I29"/>
      <c r="J29"/>
      <c r="K29"/>
      <c r="L29"/>
      <c r="M29"/>
      <c r="N29"/>
      <c r="O29"/>
      <c r="P29"/>
      <c r="Q29"/>
      <c r="R29"/>
    </row>
    <row r="30" spans="1:18" hidden="1" outlineLevel="1" x14ac:dyDescent="0.35">
      <c r="A30" s="639" t="s">
        <v>409</v>
      </c>
      <c r="B30" s="640"/>
      <c r="C30" s="674"/>
      <c r="D30" s="701">
        <v>450</v>
      </c>
      <c r="E30" s="674">
        <f>D30*12</f>
        <v>5400</v>
      </c>
      <c r="F30" s="513"/>
      <c r="G30" s="512">
        <f>E30</f>
        <v>5400</v>
      </c>
      <c r="H30" s="506">
        <f t="shared" si="2"/>
        <v>4.0956153530466347E-2</v>
      </c>
      <c r="I30"/>
      <c r="J30"/>
      <c r="K30"/>
      <c r="L30"/>
      <c r="M30"/>
      <c r="N30"/>
      <c r="O30"/>
      <c r="P30"/>
      <c r="Q30"/>
      <c r="R30"/>
    </row>
    <row r="31" spans="1:18" collapsed="1" x14ac:dyDescent="0.35">
      <c r="A31" s="640" t="s">
        <v>401</v>
      </c>
      <c r="B31" s="640"/>
      <c r="C31" s="674"/>
      <c r="D31" s="674">
        <f>E31/12</f>
        <v>700</v>
      </c>
      <c r="E31" s="674">
        <f>E32+E33</f>
        <v>8400</v>
      </c>
      <c r="F31" s="512">
        <f>SUM(F32:F33)</f>
        <v>0</v>
      </c>
      <c r="G31" s="512">
        <f>SUM(G32:G33)</f>
        <v>8400</v>
      </c>
      <c r="H31" s="506">
        <f t="shared" si="2"/>
        <v>6.3709572158503203E-2</v>
      </c>
      <c r="I31"/>
      <c r="J31"/>
      <c r="K31"/>
      <c r="L31"/>
      <c r="M31"/>
      <c r="N31"/>
      <c r="O31"/>
      <c r="P31"/>
      <c r="Q31"/>
      <c r="R31"/>
    </row>
    <row r="32" spans="1:18" ht="22" hidden="1" outlineLevel="1" x14ac:dyDescent="0.35">
      <c r="A32" s="639" t="s">
        <v>289</v>
      </c>
      <c r="B32" s="682" t="s">
        <v>290</v>
      </c>
      <c r="C32" s="674"/>
      <c r="D32" s="701">
        <v>500</v>
      </c>
      <c r="E32" s="674">
        <f>D32*12</f>
        <v>6000</v>
      </c>
      <c r="F32" s="513"/>
      <c r="G32" s="512">
        <f>E32</f>
        <v>6000</v>
      </c>
      <c r="H32" s="506">
        <f t="shared" si="2"/>
        <v>4.5506837256073719E-2</v>
      </c>
      <c r="I32"/>
      <c r="J32"/>
      <c r="K32"/>
      <c r="L32"/>
      <c r="M32"/>
      <c r="N32"/>
      <c r="O32"/>
      <c r="P32"/>
      <c r="Q32"/>
      <c r="R32"/>
    </row>
    <row r="33" spans="1:18" ht="29" hidden="1" outlineLevel="1" x14ac:dyDescent="0.35">
      <c r="A33" s="639" t="s">
        <v>291</v>
      </c>
      <c r="B33" s="640"/>
      <c r="C33" s="674"/>
      <c r="D33" s="701">
        <v>200</v>
      </c>
      <c r="E33" s="674">
        <f>D33*12</f>
        <v>2400</v>
      </c>
      <c r="F33" s="513"/>
      <c r="G33" s="512">
        <f>E33</f>
        <v>2400</v>
      </c>
      <c r="H33" s="506">
        <f t="shared" si="2"/>
        <v>1.8202734902429487E-2</v>
      </c>
      <c r="I33"/>
      <c r="J33"/>
      <c r="K33"/>
      <c r="L33"/>
      <c r="M33"/>
      <c r="N33"/>
      <c r="O33"/>
      <c r="P33"/>
      <c r="Q33"/>
      <c r="R33"/>
    </row>
    <row r="34" spans="1:18" hidden="1" collapsed="1" x14ac:dyDescent="0.35">
      <c r="A34" s="639"/>
      <c r="B34" s="640"/>
      <c r="C34" s="674"/>
      <c r="D34" s="674"/>
      <c r="E34" s="674"/>
      <c r="F34" s="513"/>
      <c r="G34" s="512"/>
      <c r="H34" s="506">
        <f t="shared" si="2"/>
        <v>0</v>
      </c>
      <c r="I34"/>
      <c r="J34"/>
      <c r="K34"/>
      <c r="L34"/>
      <c r="M34"/>
      <c r="N34"/>
      <c r="O34"/>
      <c r="P34"/>
      <c r="Q34"/>
      <c r="R34"/>
    </row>
    <row r="35" spans="1:18" hidden="1" x14ac:dyDescent="0.35">
      <c r="A35" s="639"/>
      <c r="B35" s="640"/>
      <c r="C35" s="674"/>
      <c r="D35" s="674"/>
      <c r="E35" s="674"/>
      <c r="F35" s="513"/>
      <c r="G35" s="512"/>
      <c r="H35" s="506">
        <f t="shared" si="2"/>
        <v>0</v>
      </c>
      <c r="I35"/>
      <c r="J35"/>
      <c r="K35"/>
      <c r="L35"/>
      <c r="M35"/>
      <c r="N35"/>
      <c r="O35"/>
      <c r="P35"/>
      <c r="Q35"/>
      <c r="R35"/>
    </row>
    <row r="36" spans="1:18" x14ac:dyDescent="0.35">
      <c r="A36" s="640" t="s">
        <v>402</v>
      </c>
      <c r="B36" s="640"/>
      <c r="C36" s="674"/>
      <c r="D36" s="674">
        <f>E36/12</f>
        <v>3000</v>
      </c>
      <c r="E36" s="674">
        <f>SUM(E37:E42)</f>
        <v>36000</v>
      </c>
      <c r="F36" s="513">
        <f t="shared" ref="F36:G36" si="3">SUM(F37:F42)</f>
        <v>0</v>
      </c>
      <c r="G36" s="512">
        <f t="shared" si="3"/>
        <v>36000</v>
      </c>
      <c r="H36" s="506">
        <f t="shared" si="2"/>
        <v>0.27304102353644227</v>
      </c>
      <c r="I36"/>
      <c r="J36"/>
      <c r="K36"/>
      <c r="L36"/>
      <c r="M36"/>
      <c r="N36"/>
      <c r="O36"/>
      <c r="P36"/>
      <c r="Q36"/>
      <c r="R36"/>
    </row>
    <row r="37" spans="1:18" ht="29" hidden="1" x14ac:dyDescent="0.35">
      <c r="A37" s="639" t="s">
        <v>292</v>
      </c>
      <c r="B37" s="640"/>
      <c r="C37" s="674"/>
      <c r="D37" s="674"/>
      <c r="E37" s="674">
        <v>36000</v>
      </c>
      <c r="F37" s="513"/>
      <c r="G37" s="512">
        <f>E37</f>
        <v>36000</v>
      </c>
      <c r="H37" s="506">
        <f t="shared" si="2"/>
        <v>0.27304102353644227</v>
      </c>
      <c r="I37"/>
      <c r="J37"/>
      <c r="K37"/>
      <c r="L37"/>
      <c r="M37"/>
      <c r="N37"/>
      <c r="O37"/>
      <c r="P37"/>
      <c r="Q37"/>
      <c r="R37"/>
    </row>
    <row r="38" spans="1:18" hidden="1" x14ac:dyDescent="0.35">
      <c r="A38" s="639"/>
      <c r="B38" s="640"/>
      <c r="C38" s="674"/>
      <c r="D38" s="674"/>
      <c r="E38" s="674"/>
      <c r="F38" s="513"/>
      <c r="G38" s="512"/>
      <c r="H38" s="506">
        <f t="shared" si="2"/>
        <v>0</v>
      </c>
      <c r="I38"/>
      <c r="J38"/>
      <c r="K38"/>
      <c r="L38"/>
      <c r="M38"/>
      <c r="N38"/>
      <c r="O38"/>
      <c r="P38"/>
      <c r="Q38"/>
      <c r="R38"/>
    </row>
    <row r="39" spans="1:18" hidden="1" x14ac:dyDescent="0.35">
      <c r="A39" s="639"/>
      <c r="B39" s="640"/>
      <c r="C39" s="674"/>
      <c r="D39" s="674"/>
      <c r="E39" s="674"/>
      <c r="F39" s="513"/>
      <c r="G39" s="512"/>
      <c r="H39" s="506">
        <f t="shared" si="2"/>
        <v>0</v>
      </c>
      <c r="I39"/>
      <c r="J39"/>
      <c r="K39"/>
      <c r="L39"/>
      <c r="M39"/>
      <c r="N39"/>
      <c r="O39"/>
      <c r="P39"/>
      <c r="Q39"/>
      <c r="R39"/>
    </row>
    <row r="40" spans="1:18" hidden="1" x14ac:dyDescent="0.35">
      <c r="A40" s="639"/>
      <c r="B40" s="640"/>
      <c r="C40" s="674"/>
      <c r="D40" s="674"/>
      <c r="E40" s="674"/>
      <c r="F40" s="513"/>
      <c r="G40" s="512"/>
      <c r="H40" s="506"/>
      <c r="I40"/>
      <c r="J40"/>
      <c r="K40"/>
      <c r="L40"/>
      <c r="M40"/>
      <c r="N40"/>
      <c r="O40"/>
      <c r="P40"/>
      <c r="Q40"/>
      <c r="R40"/>
    </row>
    <row r="41" spans="1:18" hidden="1" x14ac:dyDescent="0.35">
      <c r="A41" s="639"/>
      <c r="B41" s="640"/>
      <c r="C41" s="674"/>
      <c r="D41" s="674"/>
      <c r="E41" s="674"/>
      <c r="F41" s="513"/>
      <c r="G41" s="512"/>
      <c r="H41" s="506"/>
      <c r="I41"/>
      <c r="J41"/>
      <c r="K41"/>
      <c r="L41"/>
      <c r="M41"/>
      <c r="N41"/>
      <c r="O41"/>
      <c r="P41"/>
      <c r="Q41"/>
      <c r="R41"/>
    </row>
    <row r="42" spans="1:18" hidden="1" x14ac:dyDescent="0.35">
      <c r="A42" s="639"/>
      <c r="B42" s="640"/>
      <c r="C42" s="674"/>
      <c r="D42" s="674"/>
      <c r="E42" s="674"/>
      <c r="F42" s="513"/>
      <c r="G42" s="512"/>
      <c r="H42" s="506"/>
      <c r="I42"/>
      <c r="J42"/>
      <c r="K42"/>
      <c r="L42"/>
      <c r="M42"/>
      <c r="N42"/>
      <c r="O42"/>
      <c r="P42"/>
      <c r="Q42"/>
      <c r="R42"/>
    </row>
    <row r="43" spans="1:18" x14ac:dyDescent="0.35">
      <c r="A43" s="640" t="s">
        <v>465</v>
      </c>
      <c r="B43" s="640"/>
      <c r="C43" s="674"/>
      <c r="D43" s="674">
        <f>E43/12</f>
        <v>760</v>
      </c>
      <c r="E43" s="674">
        <f>SUM(E44:E47)</f>
        <v>9120</v>
      </c>
      <c r="F43" s="514">
        <f>SUM(F44:F47)</f>
        <v>6411.1313217169572</v>
      </c>
      <c r="G43" s="512">
        <f>SUM(G44:G47)</f>
        <v>2708.8686782830432</v>
      </c>
      <c r="H43" s="506"/>
      <c r="I43"/>
      <c r="J43"/>
      <c r="K43"/>
      <c r="L43"/>
      <c r="M43"/>
      <c r="N43"/>
      <c r="O43"/>
      <c r="P43"/>
      <c r="Q43"/>
      <c r="R43"/>
    </row>
    <row r="44" spans="1:18" ht="32.5" hidden="1" outlineLevel="1" x14ac:dyDescent="0.35">
      <c r="A44" s="639" t="s">
        <v>293</v>
      </c>
      <c r="B44" s="682" t="s">
        <v>496</v>
      </c>
      <c r="C44" s="674"/>
      <c r="D44" s="674">
        <f>ROUND(8*8*10+700/12,-1)*1</f>
        <v>700</v>
      </c>
      <c r="E44" s="674">
        <f>D44*12</f>
        <v>8400</v>
      </c>
      <c r="F44" s="509">
        <f>E44*Eeldused50!$C$38</f>
        <v>5904.9893752656189</v>
      </c>
      <c r="G44" s="509">
        <f>E44*Eeldused50!$D$38</f>
        <v>2495.010624734382</v>
      </c>
      <c r="H44" s="506">
        <f>G44/$G$62</f>
        <v>1.8923340408660387E-2</v>
      </c>
      <c r="I44"/>
      <c r="J44"/>
      <c r="K44"/>
      <c r="L44"/>
      <c r="M44"/>
      <c r="N44"/>
      <c r="O44"/>
      <c r="P44"/>
      <c r="Q44"/>
      <c r="R44"/>
    </row>
    <row r="45" spans="1:18" hidden="1" outlineLevel="1" x14ac:dyDescent="0.35">
      <c r="A45" s="639" t="s">
        <v>294</v>
      </c>
      <c r="B45" s="640"/>
      <c r="C45" s="674"/>
      <c r="D45" s="600">
        <v>60</v>
      </c>
      <c r="E45" s="674">
        <f>D45*12</f>
        <v>720</v>
      </c>
      <c r="F45" s="509">
        <f>E45*Eeldused50!$C$38</f>
        <v>506.14194645133875</v>
      </c>
      <c r="G45" s="509">
        <f>E45*Eeldused50!$D$38</f>
        <v>213.8580535486613</v>
      </c>
      <c r="H45" s="506">
        <f>G45/$G$62</f>
        <v>1.6220006064566047E-3</v>
      </c>
      <c r="I45"/>
      <c r="J45"/>
      <c r="K45"/>
      <c r="L45"/>
      <c r="M45"/>
      <c r="N45"/>
      <c r="O45"/>
      <c r="P45"/>
      <c r="Q45"/>
      <c r="R45"/>
    </row>
    <row r="46" spans="1:18" hidden="1" outlineLevel="1" x14ac:dyDescent="0.35">
      <c r="A46" s="639" t="s">
        <v>295</v>
      </c>
      <c r="B46" s="640"/>
      <c r="C46" s="674"/>
      <c r="D46" s="674"/>
      <c r="E46" s="674"/>
      <c r="F46" s="513"/>
      <c r="G46" s="512"/>
      <c r="H46" s="506"/>
      <c r="I46"/>
      <c r="J46"/>
      <c r="K46"/>
      <c r="L46"/>
      <c r="M46"/>
      <c r="N46"/>
      <c r="O46"/>
      <c r="P46"/>
      <c r="Q46"/>
      <c r="R46"/>
    </row>
    <row r="47" spans="1:18" hidden="1" collapsed="1" x14ac:dyDescent="0.35">
      <c r="A47" s="639"/>
      <c r="B47" s="640"/>
      <c r="C47" s="674"/>
      <c r="D47" s="674"/>
      <c r="E47" s="674"/>
      <c r="F47" s="513"/>
      <c r="G47" s="512"/>
      <c r="H47" s="506"/>
      <c r="I47"/>
      <c r="J47"/>
      <c r="K47"/>
      <c r="L47"/>
      <c r="M47"/>
      <c r="N47"/>
      <c r="O47"/>
      <c r="P47"/>
      <c r="Q47"/>
      <c r="R47"/>
    </row>
    <row r="48" spans="1:18" ht="18" customHeight="1" x14ac:dyDescent="0.35">
      <c r="A48" s="640" t="s">
        <v>403</v>
      </c>
      <c r="B48" s="640"/>
      <c r="C48" s="674"/>
      <c r="D48" s="674">
        <f>E48/12</f>
        <v>538.91666666666663</v>
      </c>
      <c r="E48" s="674">
        <f>SUM(E49:E53)</f>
        <v>6467</v>
      </c>
      <c r="F48" s="514">
        <f>SUM(F49:F53)</f>
        <v>4546.1388440288993</v>
      </c>
      <c r="G48" s="512">
        <f>SUM(G49:G53)</f>
        <v>1920.8611559711007</v>
      </c>
      <c r="H48" s="506">
        <f>G48/$G$62</f>
        <v>1.4568719336048419E-2</v>
      </c>
      <c r="I48"/>
      <c r="J48"/>
      <c r="K48"/>
      <c r="L48"/>
      <c r="M48"/>
      <c r="N48"/>
      <c r="O48"/>
      <c r="P48"/>
      <c r="Q48"/>
      <c r="R48"/>
    </row>
    <row r="49" spans="1:18" ht="22" hidden="1" outlineLevel="1" x14ac:dyDescent="0.35">
      <c r="A49" s="639" t="s">
        <v>296</v>
      </c>
      <c r="B49" s="682" t="s">
        <v>498</v>
      </c>
      <c r="C49" s="674"/>
      <c r="D49" s="674">
        <f>E49/12</f>
        <v>47.25</v>
      </c>
      <c r="E49" s="674">
        <f>13.5*6*7</f>
        <v>567</v>
      </c>
      <c r="F49" s="509">
        <f>E49*Eeldused50!$C$38</f>
        <v>398.58678283042929</v>
      </c>
      <c r="G49" s="509">
        <f>E49*Eeldused50!$D$38</f>
        <v>168.41321716957077</v>
      </c>
      <c r="H49" s="506">
        <f>G49/$G$62</f>
        <v>1.2773254775845762E-3</v>
      </c>
      <c r="I49"/>
      <c r="J49"/>
      <c r="K49"/>
      <c r="L49"/>
      <c r="M49"/>
      <c r="N49"/>
      <c r="O49"/>
      <c r="P49"/>
      <c r="Q49"/>
      <c r="R49"/>
    </row>
    <row r="50" spans="1:18" ht="22" hidden="1" outlineLevel="1" x14ac:dyDescent="0.35">
      <c r="A50" s="639" t="s">
        <v>297</v>
      </c>
      <c r="B50" s="682" t="s">
        <v>497</v>
      </c>
      <c r="C50" s="674">
        <v>300</v>
      </c>
      <c r="D50" s="674">
        <f>E50/12</f>
        <v>75</v>
      </c>
      <c r="E50" s="674">
        <f>C50*3</f>
        <v>900</v>
      </c>
      <c r="F50" s="509">
        <f>E50*Eeldused50!$C$38</f>
        <v>632.67743306417344</v>
      </c>
      <c r="G50" s="509">
        <f>E50*Eeldused50!$D$38</f>
        <v>267.32256693582661</v>
      </c>
      <c r="H50" s="506">
        <f>G50/$G$62</f>
        <v>2.0275007580707557E-3</v>
      </c>
      <c r="I50"/>
      <c r="J50"/>
      <c r="K50"/>
      <c r="L50"/>
      <c r="M50"/>
      <c r="N50"/>
      <c r="O50"/>
      <c r="P50"/>
      <c r="Q50"/>
      <c r="R50"/>
    </row>
    <row r="51" spans="1:18" hidden="1" outlineLevel="1" x14ac:dyDescent="0.35">
      <c r="A51" s="639" t="s">
        <v>298</v>
      </c>
      <c r="B51" s="640"/>
      <c r="C51" s="674"/>
      <c r="D51" s="674">
        <f>E51/12</f>
        <v>83.333333333333329</v>
      </c>
      <c r="E51" s="674">
        <v>1000</v>
      </c>
      <c r="F51" s="509">
        <f>E51*Eeldused50!$C$38</f>
        <v>702.97492562685932</v>
      </c>
      <c r="G51" s="509">
        <f>E51*Eeldused50!$D$38</f>
        <v>297.02507437314068</v>
      </c>
      <c r="H51" s="506">
        <f>G51/$G$62</f>
        <v>2.2527786200786173E-3</v>
      </c>
      <c r="I51"/>
      <c r="J51"/>
      <c r="K51" s="492"/>
      <c r="L51"/>
      <c r="M51"/>
      <c r="N51"/>
      <c r="O51"/>
      <c r="P51"/>
      <c r="Q51"/>
      <c r="R51"/>
    </row>
    <row r="52" spans="1:18" hidden="1" outlineLevel="1" x14ac:dyDescent="0.35">
      <c r="A52" s="639" t="s">
        <v>299</v>
      </c>
      <c r="B52" s="640"/>
      <c r="C52" s="674"/>
      <c r="D52" s="674">
        <f>E52/12</f>
        <v>333.33333333333331</v>
      </c>
      <c r="E52" s="674">
        <f>2000*2</f>
        <v>4000</v>
      </c>
      <c r="F52" s="509">
        <f>E52*Eeldused50!$C$38</f>
        <v>2811.8997025074373</v>
      </c>
      <c r="G52" s="509">
        <f>E52*Eeldused50!$D$38</f>
        <v>1188.1002974925627</v>
      </c>
      <c r="H52" s="506">
        <f>G52/$G$62</f>
        <v>9.0111144803144694E-3</v>
      </c>
      <c r="I52"/>
      <c r="J52"/>
      <c r="K52"/>
      <c r="L52"/>
      <c r="M52"/>
      <c r="N52"/>
      <c r="O52"/>
      <c r="P52"/>
      <c r="Q52"/>
      <c r="R52"/>
    </row>
    <row r="53" spans="1:18" hidden="1" outlineLevel="1" x14ac:dyDescent="0.35">
      <c r="A53" s="639"/>
      <c r="B53" s="640"/>
      <c r="C53" s="674"/>
      <c r="D53" s="674"/>
      <c r="E53" s="674"/>
      <c r="F53" s="509"/>
      <c r="G53" s="509"/>
      <c r="H53" s="506"/>
      <c r="I53"/>
      <c r="J53"/>
      <c r="K53"/>
      <c r="L53"/>
      <c r="M53"/>
      <c r="N53"/>
      <c r="O53"/>
      <c r="P53"/>
      <c r="Q53"/>
      <c r="R53"/>
    </row>
    <row r="54" spans="1:18" collapsed="1" x14ac:dyDescent="0.35">
      <c r="A54" s="640" t="s">
        <v>404</v>
      </c>
      <c r="B54" s="640"/>
      <c r="C54" s="674"/>
      <c r="D54" s="674">
        <v>400</v>
      </c>
      <c r="E54" s="674">
        <f>D54*12</f>
        <v>4800</v>
      </c>
      <c r="F54" s="509">
        <f>E54*Eeldused50!$C$38</f>
        <v>3374.2796430089252</v>
      </c>
      <c r="G54" s="509">
        <f>E54*Eeldused50!$D$38</f>
        <v>1425.7203569910753</v>
      </c>
      <c r="H54" s="506">
        <f t="shared" ref="H54:H59" si="4">G54/$G$62</f>
        <v>1.0813337376377364E-2</v>
      </c>
      <c r="I54"/>
      <c r="J54"/>
      <c r="K54"/>
      <c r="L54"/>
      <c r="M54"/>
      <c r="N54"/>
      <c r="O54"/>
      <c r="P54"/>
      <c r="Q54"/>
      <c r="R54"/>
    </row>
    <row r="55" spans="1:18" ht="30.75" customHeight="1" x14ac:dyDescent="0.35">
      <c r="A55" s="640" t="s">
        <v>405</v>
      </c>
      <c r="B55" s="640" t="s">
        <v>483</v>
      </c>
      <c r="C55" s="685">
        <v>1E-3</v>
      </c>
      <c r="D55" s="674">
        <f>E55/12</f>
        <v>268.33333333333331</v>
      </c>
      <c r="E55" s="674">
        <f>C55*'1. Projekti elluviimise kulud'!J13</f>
        <v>3220</v>
      </c>
      <c r="F55" s="513"/>
      <c r="G55" s="512">
        <f>E55</f>
        <v>3220</v>
      </c>
      <c r="H55" s="506">
        <f t="shared" si="4"/>
        <v>2.442200266075956E-2</v>
      </c>
      <c r="I55"/>
      <c r="J55"/>
      <c r="K55"/>
      <c r="L55"/>
      <c r="M55"/>
      <c r="N55"/>
      <c r="O55"/>
      <c r="P55"/>
      <c r="Q55"/>
      <c r="R55"/>
    </row>
    <row r="56" spans="1:18" x14ac:dyDescent="0.35">
      <c r="A56" s="640" t="s">
        <v>406</v>
      </c>
      <c r="B56" s="640"/>
      <c r="C56" s="674"/>
      <c r="D56" s="674">
        <f>E56/12</f>
        <v>355</v>
      </c>
      <c r="E56" s="674">
        <f>SUM(E57:E61)</f>
        <v>4260</v>
      </c>
      <c r="F56" s="515">
        <f>SUM(F57:F61)</f>
        <v>1687.1398215044626</v>
      </c>
      <c r="G56" s="512">
        <f>SUM(G57:G61)</f>
        <v>2572.8601784955376</v>
      </c>
      <c r="H56" s="506">
        <f t="shared" si="4"/>
        <v>1.9513788237571533E-2</v>
      </c>
      <c r="I56"/>
      <c r="J56"/>
      <c r="K56"/>
      <c r="L56"/>
      <c r="M56"/>
      <c r="N56"/>
      <c r="O56"/>
      <c r="P56"/>
      <c r="Q56"/>
      <c r="R56"/>
    </row>
    <row r="57" spans="1:18" ht="29" hidden="1" outlineLevel="1" x14ac:dyDescent="0.35">
      <c r="A57" s="639" t="s">
        <v>300</v>
      </c>
      <c r="B57" s="640"/>
      <c r="C57" s="674"/>
      <c r="D57" s="674">
        <v>55</v>
      </c>
      <c r="E57" s="674">
        <f>D57*12</f>
        <v>660</v>
      </c>
      <c r="F57" s="513"/>
      <c r="G57" s="512">
        <f>E57</f>
        <v>660</v>
      </c>
      <c r="H57" s="506">
        <f t="shared" si="4"/>
        <v>5.0057520981681087E-3</v>
      </c>
      <c r="I57"/>
      <c r="J57"/>
      <c r="K57"/>
      <c r="L57"/>
      <c r="M57"/>
      <c r="N57"/>
      <c r="O57"/>
      <c r="P57"/>
      <c r="Q57"/>
      <c r="R57"/>
    </row>
    <row r="58" spans="1:18" hidden="1" outlineLevel="1" x14ac:dyDescent="0.35">
      <c r="A58" s="639" t="s">
        <v>301</v>
      </c>
      <c r="B58" s="640"/>
      <c r="C58" s="674"/>
      <c r="D58" s="701">
        <v>200</v>
      </c>
      <c r="E58" s="674">
        <f>D58*12</f>
        <v>2400</v>
      </c>
      <c r="F58" s="509">
        <f>E58*Eeldused50!$C$38</f>
        <v>1687.1398215044626</v>
      </c>
      <c r="G58" s="509">
        <f>E58*Eeldused50!$D$38</f>
        <v>712.86017849553764</v>
      </c>
      <c r="H58" s="506">
        <f t="shared" si="4"/>
        <v>5.4066686881886821E-3</v>
      </c>
      <c r="I58"/>
      <c r="J58"/>
      <c r="K58"/>
      <c r="L58"/>
      <c r="M58"/>
      <c r="N58"/>
      <c r="O58"/>
      <c r="P58"/>
      <c r="Q58"/>
      <c r="R58"/>
    </row>
    <row r="59" spans="1:18" hidden="1" outlineLevel="1" x14ac:dyDescent="0.35">
      <c r="A59" s="639" t="s">
        <v>284</v>
      </c>
      <c r="B59" s="640"/>
      <c r="C59" s="674"/>
      <c r="D59" s="701">
        <v>100</v>
      </c>
      <c r="E59" s="674">
        <f>D59*12</f>
        <v>1200</v>
      </c>
      <c r="F59" s="509"/>
      <c r="G59" s="510">
        <f>E59</f>
        <v>1200</v>
      </c>
      <c r="H59" s="506">
        <f t="shared" si="4"/>
        <v>9.1013674512147435E-3</v>
      </c>
      <c r="I59"/>
      <c r="J59"/>
      <c r="K59"/>
      <c r="L59"/>
      <c r="M59"/>
      <c r="N59"/>
      <c r="O59"/>
      <c r="P59"/>
      <c r="Q59"/>
      <c r="R59"/>
    </row>
    <row r="60" spans="1:18" hidden="1" outlineLevel="1" x14ac:dyDescent="0.35">
      <c r="A60" s="639"/>
      <c r="B60" s="640"/>
      <c r="C60" s="674"/>
      <c r="D60" s="674"/>
      <c r="E60" s="674"/>
      <c r="F60" s="510"/>
      <c r="G60" s="510"/>
      <c r="H60" s="490">
        <f>G60/$G$71</f>
        <v>0</v>
      </c>
      <c r="I60"/>
      <c r="J60"/>
      <c r="K60"/>
      <c r="L60"/>
      <c r="M60"/>
      <c r="N60"/>
      <c r="O60"/>
      <c r="P60"/>
      <c r="Q60"/>
      <c r="R60"/>
    </row>
    <row r="61" spans="1:18" collapsed="1" x14ac:dyDescent="0.35">
      <c r="A61" s="639"/>
      <c r="B61" s="640"/>
      <c r="C61" s="674"/>
      <c r="D61" s="674"/>
      <c r="E61" s="674"/>
      <c r="F61" s="510"/>
      <c r="G61" s="510"/>
      <c r="H61" s="490"/>
      <c r="I61"/>
      <c r="J61"/>
      <c r="K61"/>
      <c r="L61"/>
      <c r="M61"/>
      <c r="N61"/>
      <c r="O61"/>
      <c r="P61"/>
      <c r="Q61"/>
      <c r="R61"/>
    </row>
    <row r="62" spans="1:18" x14ac:dyDescent="0.35">
      <c r="A62" s="686" t="s">
        <v>350</v>
      </c>
      <c r="B62" s="640"/>
      <c r="C62" s="674"/>
      <c r="D62" s="687">
        <f>E62/12</f>
        <v>12800.836947333335</v>
      </c>
      <c r="E62" s="687">
        <f>E4+E25+E29+E31+E56+E36+E43+E48+E54+E55</f>
        <v>153610.04336800001</v>
      </c>
      <c r="F62" s="516">
        <f>F4+F25+F29+F31+F56+F36+F43+F48+F54+F55</f>
        <v>21761.724262958483</v>
      </c>
      <c r="G62" s="516">
        <f>G4+G25+G29+G31+G56+G36+G43+G48+G54+G55</f>
        <v>131848.31910504153</v>
      </c>
      <c r="H62" s="506"/>
      <c r="I62"/>
      <c r="J62"/>
      <c r="K62" s="497"/>
      <c r="L62"/>
      <c r="M62"/>
      <c r="N62"/>
      <c r="O62"/>
      <c r="P62"/>
      <c r="Q62"/>
      <c r="R62"/>
    </row>
    <row r="63" spans="1:18" x14ac:dyDescent="0.35">
      <c r="A63" s="686"/>
      <c r="B63" s="640"/>
      <c r="C63" s="674"/>
      <c r="D63" s="674"/>
      <c r="E63" s="687"/>
      <c r="F63" s="510"/>
      <c r="G63" s="510"/>
      <c r="H63" s="506"/>
      <c r="I63"/>
      <c r="J63"/>
      <c r="K63"/>
      <c r="L63"/>
      <c r="M63"/>
      <c r="N63"/>
      <c r="O63"/>
      <c r="P63"/>
      <c r="Q63"/>
      <c r="R63"/>
    </row>
    <row r="64" spans="1:18" x14ac:dyDescent="0.35">
      <c r="A64" s="673" t="s">
        <v>407</v>
      </c>
      <c r="B64" s="640"/>
      <c r="C64" s="674"/>
      <c r="D64" s="603"/>
      <c r="E64" s="603"/>
      <c r="F64" s="488"/>
      <c r="G64" s="512"/>
      <c r="H64" s="506"/>
      <c r="I64"/>
      <c r="J64"/>
      <c r="K64"/>
      <c r="L64"/>
      <c r="M64"/>
      <c r="N64"/>
      <c r="O64"/>
      <c r="P64"/>
      <c r="Q64"/>
      <c r="R64"/>
    </row>
    <row r="65" spans="1:18" x14ac:dyDescent="0.35">
      <c r="A65" s="639" t="s">
        <v>328</v>
      </c>
      <c r="B65" s="640"/>
      <c r="C65" s="688"/>
      <c r="D65" s="674">
        <f>E65/12</f>
        <v>10500</v>
      </c>
      <c r="E65" s="674">
        <f>('1. Projekti elluviimise kulud'!J8+'1. Projekti elluviimise kulud'!J10+'1. Projekti elluviimise kulud'!J6)/'1. Projekti elluviimise kulud'!L8</f>
        <v>126000</v>
      </c>
      <c r="F65" s="488"/>
      <c r="G65" s="512">
        <f>E65</f>
        <v>126000</v>
      </c>
      <c r="H65" s="506"/>
      <c r="I65"/>
      <c r="J65"/>
      <c r="K65"/>
      <c r="L65"/>
      <c r="M65"/>
      <c r="N65"/>
      <c r="O65"/>
      <c r="P65"/>
      <c r="Q65"/>
      <c r="R65"/>
    </row>
    <row r="66" spans="1:18" x14ac:dyDescent="0.35">
      <c r="A66" s="639" t="s">
        <v>329</v>
      </c>
      <c r="B66" s="640"/>
      <c r="C66" s="688"/>
      <c r="D66" s="674">
        <f>E66/12</f>
        <v>769.23076923076917</v>
      </c>
      <c r="E66" s="674">
        <f>'1. Projekti elluviimise kulud'!J9/'1. Projekti elluviimise kulud'!L9</f>
        <v>9230.7692307692305</v>
      </c>
      <c r="F66" s="488"/>
      <c r="G66" s="512">
        <f>E66</f>
        <v>9230.7692307692305</v>
      </c>
      <c r="H66" s="506"/>
      <c r="I66"/>
      <c r="J66"/>
      <c r="K66"/>
      <c r="L66"/>
      <c r="M66"/>
      <c r="N66"/>
      <c r="O66"/>
      <c r="P66"/>
      <c r="Q66"/>
      <c r="R66"/>
    </row>
    <row r="67" spans="1:18" ht="30.75" hidden="1" customHeight="1" x14ac:dyDescent="0.35">
      <c r="A67" s="639"/>
      <c r="B67" s="640"/>
      <c r="C67" s="688"/>
      <c r="D67" s="674"/>
      <c r="E67" s="674"/>
      <c r="F67" s="488"/>
      <c r="G67" s="512">
        <f>E67</f>
        <v>0</v>
      </c>
      <c r="H67" s="506"/>
      <c r="I67"/>
      <c r="J67"/>
      <c r="K67"/>
      <c r="L67"/>
      <c r="M67"/>
      <c r="N67"/>
      <c r="O67"/>
      <c r="P67"/>
      <c r="Q67"/>
      <c r="R67"/>
    </row>
    <row r="68" spans="1:18" ht="31.5" hidden="1" customHeight="1" x14ac:dyDescent="0.35">
      <c r="A68" s="639"/>
      <c r="B68" s="640"/>
      <c r="C68" s="688"/>
      <c r="D68" s="674"/>
      <c r="E68" s="674"/>
      <c r="F68" s="488"/>
      <c r="G68" s="512">
        <f>E68</f>
        <v>0</v>
      </c>
      <c r="H68" s="506"/>
      <c r="I68"/>
      <c r="J68"/>
      <c r="K68"/>
      <c r="L68"/>
      <c r="M68"/>
      <c r="N68"/>
      <c r="O68"/>
      <c r="P68"/>
      <c r="Q68"/>
      <c r="R68"/>
    </row>
    <row r="69" spans="1:18" x14ac:dyDescent="0.35">
      <c r="A69" s="686" t="s">
        <v>484</v>
      </c>
      <c r="B69" s="600"/>
      <c r="C69" s="615"/>
      <c r="D69" s="687">
        <f>SUM(D65:D68)</f>
        <v>11269.23076923077</v>
      </c>
      <c r="E69" s="687">
        <f>SUM(E65:E68)</f>
        <v>135230.76923076922</v>
      </c>
      <c r="F69" s="516">
        <f>SUM(F65:F68)</f>
        <v>0</v>
      </c>
      <c r="G69" s="516">
        <f>SUM(G65:G68)</f>
        <v>135230.76923076922</v>
      </c>
      <c r="H69"/>
      <c r="I69"/>
      <c r="J69"/>
      <c r="K69"/>
      <c r="L69"/>
      <c r="M69"/>
      <c r="N69"/>
      <c r="O69"/>
      <c r="P69"/>
      <c r="Q69"/>
      <c r="R69"/>
    </row>
    <row r="70" spans="1:18" x14ac:dyDescent="0.35">
      <c r="A70" s="686"/>
      <c r="B70" s="600"/>
      <c r="C70" s="615"/>
      <c r="D70" s="674"/>
      <c r="E70" s="674"/>
      <c r="F70" s="488"/>
      <c r="G70" s="488"/>
      <c r="H70"/>
      <c r="I70"/>
      <c r="J70"/>
      <c r="K70"/>
      <c r="L70"/>
      <c r="M70"/>
      <c r="N70"/>
      <c r="O70"/>
      <c r="P70"/>
      <c r="Q70"/>
      <c r="R70"/>
    </row>
    <row r="71" spans="1:18" x14ac:dyDescent="0.35">
      <c r="A71" s="672" t="s">
        <v>65</v>
      </c>
      <c r="B71" s="666"/>
      <c r="C71" s="666"/>
      <c r="D71" s="667">
        <f>E71/12</f>
        <v>24070.067716564099</v>
      </c>
      <c r="E71" s="667">
        <f>E62+E69</f>
        <v>288840.8125987692</v>
      </c>
      <c r="F71" s="500">
        <f>F62+F69</f>
        <v>21761.724262958483</v>
      </c>
      <c r="G71" s="500">
        <f>G62+G69</f>
        <v>267079.08833581075</v>
      </c>
      <c r="H71"/>
      <c r="I71"/>
      <c r="J71"/>
      <c r="K71"/>
      <c r="L71"/>
      <c r="M71"/>
      <c r="N71"/>
      <c r="O71"/>
      <c r="P71"/>
      <c r="Q71"/>
      <c r="R71"/>
    </row>
    <row r="72" spans="1:18" x14ac:dyDescent="0.35">
      <c r="A72" s="517"/>
      <c r="B72" s="518"/>
      <c r="C72" s="518"/>
      <c r="D72" s="519"/>
      <c r="E72" s="519"/>
      <c r="F72" s="519"/>
      <c r="G72" s="519"/>
      <c r="H72"/>
      <c r="I72"/>
      <c r="J72"/>
      <c r="K72"/>
      <c r="L72"/>
      <c r="M72"/>
      <c r="N72"/>
      <c r="O72"/>
      <c r="P72"/>
      <c r="Q72"/>
      <c r="R72"/>
    </row>
    <row r="73" spans="1:18" x14ac:dyDescent="0.35">
      <c r="A73" s="373"/>
      <c r="B73" s="369"/>
      <c r="C73" s="369"/>
      <c r="D73" s="374"/>
      <c r="E73" s="374"/>
      <c r="F73" s="374"/>
      <c r="G73" s="374"/>
    </row>
    <row r="74" spans="1:18" x14ac:dyDescent="0.35">
      <c r="E74" s="371"/>
      <c r="G74" s="371"/>
    </row>
    <row r="75" spans="1:18" x14ac:dyDescent="0.35">
      <c r="E75" s="370"/>
      <c r="G75" s="370"/>
    </row>
    <row r="77" spans="1:18" x14ac:dyDescent="0.35">
      <c r="E77" s="372"/>
    </row>
  </sheetData>
  <conditionalFormatting sqref="H2:H73">
    <cfRule type="cellIs" dxfId="2" priority="1" operator="equal">
      <formula>0</formula>
    </cfRule>
  </conditionalFormatting>
  <pageMargins left="0.7" right="0.7" top="0.75" bottom="0.75" header="0.3" footer="0.3"/>
  <pageSetup paperSize="9"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52"/>
  <sheetViews>
    <sheetView workbookViewId="0">
      <selection activeCell="E15" sqref="E15"/>
    </sheetView>
  </sheetViews>
  <sheetFormatPr defaultColWidth="9.1796875" defaultRowHeight="14.5" outlineLevelCol="1" x14ac:dyDescent="0.35"/>
  <cols>
    <col min="1" max="1" width="33.54296875" style="365" customWidth="1"/>
    <col min="2" max="2" width="17.26953125" style="365" customWidth="1"/>
    <col min="3" max="3" width="15.54296875" style="365" customWidth="1"/>
    <col min="4" max="4" width="20" style="365" customWidth="1"/>
    <col min="5" max="5" width="10.453125" style="365" customWidth="1"/>
    <col min="6" max="6" width="15.453125" style="365" customWidth="1"/>
    <col min="7" max="7" width="12.26953125" style="365" customWidth="1"/>
    <col min="8" max="8" width="12.54296875" style="365" customWidth="1"/>
    <col min="9" max="9" width="11.7265625" style="365" customWidth="1"/>
    <col min="10" max="10" width="11.7265625" style="365" hidden="1" customWidth="1"/>
    <col min="11" max="11" width="9.1796875" style="365" hidden="1" customWidth="1"/>
    <col min="12" max="12" width="9.1796875" style="365" customWidth="1"/>
    <col min="13" max="13" width="10.54296875" style="365" hidden="1" customWidth="1" outlineLevel="1"/>
    <col min="14" max="15" width="9.1796875" style="365" hidden="1" customWidth="1" outlineLevel="1"/>
    <col min="16" max="19" width="0" style="365" hidden="1" customWidth="1" outlineLevel="1"/>
    <col min="20" max="20" width="9.1796875" style="365" collapsed="1"/>
    <col min="21" max="16384" width="9.1796875" style="365"/>
  </cols>
  <sheetData>
    <row r="1" spans="1:19" x14ac:dyDescent="0.35">
      <c r="A1" s="635" t="s">
        <v>32</v>
      </c>
      <c r="B1" s="603"/>
      <c r="C1" s="603"/>
      <c r="D1" s="603"/>
      <c r="E1" s="655"/>
      <c r="F1" s="603"/>
      <c r="G1" s="655"/>
      <c r="H1" s="655"/>
      <c r="I1" s="605"/>
      <c r="J1"/>
      <c r="K1"/>
      <c r="L1"/>
      <c r="M1"/>
      <c r="N1"/>
      <c r="O1"/>
      <c r="P1"/>
      <c r="Q1"/>
    </row>
    <row r="2" spans="1:19" x14ac:dyDescent="0.35">
      <c r="A2" s="603"/>
      <c r="B2" s="603"/>
      <c r="C2" s="603"/>
      <c r="D2" s="603"/>
      <c r="E2" s="603"/>
      <c r="F2" s="603"/>
      <c r="G2" s="603"/>
      <c r="H2" s="603"/>
      <c r="I2" s="603"/>
      <c r="J2"/>
      <c r="K2"/>
      <c r="L2"/>
      <c r="M2"/>
      <c r="N2"/>
      <c r="O2"/>
      <c r="P2"/>
      <c r="Q2"/>
    </row>
    <row r="3" spans="1:19" x14ac:dyDescent="0.35">
      <c r="A3" s="635" t="s">
        <v>394</v>
      </c>
      <c r="B3" s="603"/>
      <c r="C3" s="603"/>
      <c r="D3" s="603"/>
      <c r="E3" s="603"/>
      <c r="F3" s="603"/>
      <c r="G3" s="603"/>
      <c r="H3" s="603"/>
      <c r="I3" s="603"/>
      <c r="J3"/>
      <c r="K3"/>
      <c r="L3"/>
      <c r="M3"/>
      <c r="N3"/>
      <c r="O3"/>
      <c r="P3"/>
      <c r="Q3"/>
    </row>
    <row r="4" spans="1:19" x14ac:dyDescent="0.35">
      <c r="A4" s="603"/>
      <c r="B4" s="603"/>
      <c r="C4" s="603"/>
      <c r="D4" s="603"/>
      <c r="E4" s="603"/>
      <c r="F4" s="603"/>
      <c r="G4" s="603"/>
      <c r="H4" s="603"/>
      <c r="I4" s="603"/>
      <c r="J4"/>
      <c r="K4"/>
      <c r="L4"/>
      <c r="M4"/>
      <c r="N4"/>
      <c r="O4"/>
      <c r="P4"/>
      <c r="Q4"/>
    </row>
    <row r="5" spans="1:19" ht="30" customHeight="1" x14ac:dyDescent="0.35">
      <c r="A5" s="656" t="s">
        <v>281</v>
      </c>
      <c r="B5" s="656" t="s">
        <v>454</v>
      </c>
      <c r="C5" s="656" t="s">
        <v>455</v>
      </c>
      <c r="D5" s="656" t="s">
        <v>467</v>
      </c>
      <c r="E5" s="656" t="s">
        <v>0</v>
      </c>
      <c r="F5" s="657" t="s">
        <v>468</v>
      </c>
      <c r="G5" s="656" t="s">
        <v>469</v>
      </c>
      <c r="H5" s="656" t="s">
        <v>470</v>
      </c>
      <c r="I5" s="656" t="s">
        <v>471</v>
      </c>
      <c r="J5"/>
      <c r="K5"/>
      <c r="L5"/>
      <c r="M5" s="724" t="s">
        <v>507</v>
      </c>
      <c r="N5" s="724" t="s">
        <v>508</v>
      </c>
      <c r="O5" s="724" t="s">
        <v>509</v>
      </c>
      <c r="P5"/>
      <c r="Q5"/>
    </row>
    <row r="6" spans="1:19" x14ac:dyDescent="0.35">
      <c r="A6" s="658" t="s">
        <v>279</v>
      </c>
      <c r="B6" s="600"/>
      <c r="C6" s="600"/>
      <c r="D6" s="600"/>
      <c r="E6" s="600"/>
      <c r="F6" s="600"/>
      <c r="G6" s="600"/>
      <c r="H6" s="600"/>
      <c r="I6" s="600"/>
      <c r="J6"/>
      <c r="K6"/>
      <c r="L6"/>
      <c r="M6" s="488"/>
      <c r="N6" s="488"/>
      <c r="O6" s="488"/>
      <c r="P6"/>
      <c r="Q6"/>
    </row>
    <row r="7" spans="1:19" x14ac:dyDescent="0.35">
      <c r="A7" s="629" t="str">
        <f>Ruumid!A5</f>
        <v>1 korrus</v>
      </c>
      <c r="B7" s="631">
        <f>Ruumid!C5</f>
        <v>292.5</v>
      </c>
      <c r="C7" s="631">
        <f>Ruumid!D5</f>
        <v>292.5</v>
      </c>
      <c r="D7" s="659"/>
      <c r="E7" s="659"/>
      <c r="F7" s="659"/>
      <c r="G7" s="660"/>
      <c r="H7" s="660"/>
      <c r="I7" s="660"/>
      <c r="J7"/>
      <c r="K7"/>
      <c r="L7"/>
      <c r="M7" s="488"/>
      <c r="N7" s="488"/>
      <c r="O7" s="488"/>
      <c r="P7"/>
      <c r="Q7"/>
    </row>
    <row r="8" spans="1:19" x14ac:dyDescent="0.35">
      <c r="A8" s="600" t="str">
        <f>Ruumid!A6</f>
        <v>Kohvik</v>
      </c>
      <c r="B8" s="600">
        <f>Ruumid!C6</f>
        <v>132.5</v>
      </c>
      <c r="C8" s="600">
        <f>Ruumid!D6</f>
        <v>132.5</v>
      </c>
      <c r="D8" s="645" t="s">
        <v>472</v>
      </c>
      <c r="E8" s="600">
        <v>5</v>
      </c>
      <c r="F8" s="661">
        <v>1</v>
      </c>
      <c r="G8" s="615">
        <f>C8*E8*F8</f>
        <v>662.5</v>
      </c>
      <c r="H8" s="615">
        <f>G8*12</f>
        <v>7950</v>
      </c>
      <c r="I8" s="616">
        <f>H8/$H$33</f>
        <v>6.3075114130253684E-2</v>
      </c>
      <c r="J8"/>
      <c r="K8" t="s">
        <v>269</v>
      </c>
      <c r="L8"/>
      <c r="M8" s="488">
        <f>B8</f>
        <v>132.5</v>
      </c>
      <c r="N8" s="488">
        <f>B8*F8</f>
        <v>132.5</v>
      </c>
      <c r="O8" s="488">
        <f>M8-N8</f>
        <v>0</v>
      </c>
      <c r="P8"/>
      <c r="Q8"/>
    </row>
    <row r="9" spans="1:19" hidden="1" x14ac:dyDescent="0.35">
      <c r="A9" s="600" t="str">
        <f>Ruumid!A7</f>
        <v>Seminariruumid</v>
      </c>
      <c r="B9" s="600">
        <f>Ruumid!C7</f>
        <v>72.7</v>
      </c>
      <c r="C9" s="600">
        <f>Ruumid!D7</f>
        <v>72.7</v>
      </c>
      <c r="D9" s="645" t="s">
        <v>282</v>
      </c>
      <c r="E9" s="600">
        <v>240</v>
      </c>
      <c r="F9" s="710"/>
      <c r="G9" s="615">
        <f>21*E9*F9</f>
        <v>0</v>
      </c>
      <c r="H9" s="615">
        <f>G9*12</f>
        <v>0</v>
      </c>
      <c r="I9" s="616">
        <f>H9/$H$33</f>
        <v>0</v>
      </c>
      <c r="J9"/>
      <c r="K9" t="s">
        <v>271</v>
      </c>
      <c r="L9"/>
      <c r="M9" s="488">
        <f>B9</f>
        <v>72.7</v>
      </c>
      <c r="N9" s="488">
        <f>B9*F9</f>
        <v>0</v>
      </c>
      <c r="O9" s="488">
        <f>M9-N9</f>
        <v>72.7</v>
      </c>
      <c r="P9"/>
      <c r="Q9"/>
    </row>
    <row r="10" spans="1:19" x14ac:dyDescent="0.35">
      <c r="A10" s="629" t="str">
        <f>Ruumid!A10</f>
        <v>2 korrus</v>
      </c>
      <c r="B10" s="631">
        <f>Ruumid!C10</f>
        <v>300.2</v>
      </c>
      <c r="C10" s="631">
        <f>Ruumid!D10</f>
        <v>300.2</v>
      </c>
      <c r="D10" s="659"/>
      <c r="E10" s="659"/>
      <c r="F10" s="659"/>
      <c r="G10" s="660"/>
      <c r="H10" s="660"/>
      <c r="I10" s="660"/>
      <c r="J10"/>
      <c r="K10"/>
      <c r="L10"/>
      <c r="M10" s="488"/>
      <c r="N10" s="488"/>
      <c r="O10" s="488"/>
      <c r="P10"/>
      <c r="Q10"/>
    </row>
    <row r="11" spans="1:19" x14ac:dyDescent="0.35">
      <c r="A11" s="600" t="str">
        <f>Ruumid!A11</f>
        <v>Üüriruumid</v>
      </c>
      <c r="B11" s="600">
        <f>Ruumid!C11</f>
        <v>273.39999999999998</v>
      </c>
      <c r="C11" s="600">
        <f>Ruumid!D11</f>
        <v>273.39999999999998</v>
      </c>
      <c r="D11" s="645" t="s">
        <v>472</v>
      </c>
      <c r="E11" s="600">
        <v>7</v>
      </c>
      <c r="F11" s="661">
        <v>1</v>
      </c>
      <c r="G11" s="615">
        <f>C11*E11*F11</f>
        <v>1913.7999999999997</v>
      </c>
      <c r="H11" s="615">
        <f>G11*12</f>
        <v>22965.599999999999</v>
      </c>
      <c r="I11" s="616">
        <f>H11/$H$33</f>
        <v>0.18220853346789356</v>
      </c>
      <c r="J11"/>
      <c r="K11" t="s">
        <v>269</v>
      </c>
      <c r="L11"/>
      <c r="M11" s="488">
        <f>B11</f>
        <v>273.39999999999998</v>
      </c>
      <c r="N11" s="488">
        <f>B11*F11</f>
        <v>273.39999999999998</v>
      </c>
      <c r="O11" s="488">
        <f>M11-N11</f>
        <v>0</v>
      </c>
      <c r="P11"/>
      <c r="Q11"/>
    </row>
    <row r="12" spans="1:19" x14ac:dyDescent="0.35">
      <c r="A12" s="629" t="str">
        <f>Ruumid!A14</f>
        <v>3 korrus</v>
      </c>
      <c r="B12" s="629">
        <f>Ruumid!C14</f>
        <v>304.20000000000005</v>
      </c>
      <c r="C12" s="631">
        <f>Ruumid!D14</f>
        <v>304.2</v>
      </c>
      <c r="D12" s="659"/>
      <c r="E12" s="659"/>
      <c r="F12" s="659"/>
      <c r="G12" s="660"/>
      <c r="H12" s="660"/>
      <c r="I12" s="660"/>
      <c r="J12"/>
      <c r="K12"/>
      <c r="L12"/>
      <c r="M12" s="488"/>
      <c r="N12" s="488"/>
      <c r="O12" s="488"/>
      <c r="P12"/>
      <c r="Q12"/>
    </row>
    <row r="13" spans="1:19" x14ac:dyDescent="0.35">
      <c r="A13" s="600" t="str">
        <f>Ruumid!A15</f>
        <v>Üürikabinetid</v>
      </c>
      <c r="B13" s="600">
        <f>Ruumid!C15</f>
        <v>105.6</v>
      </c>
      <c r="C13" s="600">
        <f>Ruumid!D15</f>
        <v>105.6</v>
      </c>
      <c r="D13" s="645" t="s">
        <v>472</v>
      </c>
      <c r="E13" s="600">
        <v>15</v>
      </c>
      <c r="F13" s="661">
        <v>0.5</v>
      </c>
      <c r="G13" s="615">
        <f>C13*E13*F13</f>
        <v>792</v>
      </c>
      <c r="H13" s="615">
        <f t="shared" ref="H13:H14" si="0">G13*12</f>
        <v>9504</v>
      </c>
      <c r="I13" s="616">
        <f t="shared" ref="I13:I14" si="1">H13/$H$33</f>
        <v>7.5404513797978745E-2</v>
      </c>
      <c r="J13"/>
      <c r="K13" t="s">
        <v>271</v>
      </c>
      <c r="L13"/>
      <c r="M13" s="488">
        <f t="shared" ref="M13:M14" si="2">B13</f>
        <v>105.6</v>
      </c>
      <c r="N13" s="488">
        <f t="shared" ref="N13:N14" si="3">B13*F13</f>
        <v>52.8</v>
      </c>
      <c r="O13" s="488">
        <f t="shared" ref="O13:O14" si="4">M13-N13</f>
        <v>52.8</v>
      </c>
      <c r="P13"/>
      <c r="Q13"/>
    </row>
    <row r="14" spans="1:19" x14ac:dyDescent="0.35">
      <c r="A14" s="600" t="str">
        <f>Ruumid!A18</f>
        <v>Open Office (12 kohta)</v>
      </c>
      <c r="B14" s="600">
        <f>Ruumid!C18</f>
        <v>35.6</v>
      </c>
      <c r="C14" s="600">
        <f>Ruumid!D18</f>
        <v>35.6</v>
      </c>
      <c r="D14" s="600" t="s">
        <v>473</v>
      </c>
      <c r="E14" s="600">
        <v>15</v>
      </c>
      <c r="F14" s="661">
        <v>0.5</v>
      </c>
      <c r="G14" s="615">
        <f>21*E14*F14*12</f>
        <v>1890</v>
      </c>
      <c r="H14" s="615">
        <f t="shared" si="0"/>
        <v>22680</v>
      </c>
      <c r="I14" s="616">
        <f t="shared" si="1"/>
        <v>0.17994258974517655</v>
      </c>
      <c r="J14"/>
      <c r="K14" t="s">
        <v>271</v>
      </c>
      <c r="L14"/>
      <c r="M14" s="488">
        <f t="shared" si="2"/>
        <v>35.6</v>
      </c>
      <c r="N14" s="488">
        <f t="shared" si="3"/>
        <v>17.8</v>
      </c>
      <c r="O14" s="488">
        <f t="shared" si="4"/>
        <v>17.8</v>
      </c>
      <c r="P14"/>
      <c r="Q14">
        <v>12</v>
      </c>
      <c r="R14" s="711">
        <f>Q14*F14</f>
        <v>6</v>
      </c>
      <c r="S14" s="711">
        <f>Q14-R14</f>
        <v>6</v>
      </c>
    </row>
    <row r="15" spans="1:19" x14ac:dyDescent="0.35">
      <c r="A15" s="629" t="str">
        <f>Ruumid!A19</f>
        <v>4 korrus</v>
      </c>
      <c r="B15" s="631">
        <f>Ruumid!C19</f>
        <v>307.8</v>
      </c>
      <c r="C15" s="631">
        <f>Ruumid!D19</f>
        <v>307.8</v>
      </c>
      <c r="D15" s="659"/>
      <c r="E15" s="659"/>
      <c r="F15" s="659"/>
      <c r="G15" s="660"/>
      <c r="H15" s="660"/>
      <c r="I15" s="660"/>
      <c r="J15"/>
      <c r="K15"/>
      <c r="L15"/>
      <c r="M15" s="488"/>
      <c r="N15" s="488"/>
      <c r="O15" s="488"/>
      <c r="P15"/>
      <c r="Q15"/>
    </row>
    <row r="16" spans="1:19" x14ac:dyDescent="0.35">
      <c r="A16" s="600" t="str">
        <f>Ruumid!A20</f>
        <v>Üüriruumid</v>
      </c>
      <c r="B16" s="600">
        <f>Ruumid!C20</f>
        <v>265.60000000000002</v>
      </c>
      <c r="C16" s="600">
        <f>Ruumid!D20</f>
        <v>265.60000000000002</v>
      </c>
      <c r="D16" s="645" t="s">
        <v>472</v>
      </c>
      <c r="E16" s="600">
        <v>7</v>
      </c>
      <c r="F16" s="661">
        <v>1</v>
      </c>
      <c r="G16" s="615">
        <f t="shared" ref="G16:G19" si="5">C16*E16*F16</f>
        <v>1859.2000000000003</v>
      </c>
      <c r="H16" s="615">
        <f t="shared" ref="H16:H17" si="6">G16*12</f>
        <v>22310.400000000001</v>
      </c>
      <c r="I16" s="616">
        <f t="shared" ref="I16:I17" si="7">H16/$H$33</f>
        <v>0.17701019198636628</v>
      </c>
      <c r="J16"/>
      <c r="K16" t="s">
        <v>269</v>
      </c>
      <c r="L16"/>
      <c r="M16" s="488">
        <f t="shared" ref="M16:M17" si="8">B16</f>
        <v>265.60000000000002</v>
      </c>
      <c r="N16" s="488">
        <f>B16*F16</f>
        <v>265.60000000000002</v>
      </c>
      <c r="O16" s="488">
        <f t="shared" ref="O16:O17" si="9">M16-N16</f>
        <v>0</v>
      </c>
      <c r="P16"/>
      <c r="Q16"/>
    </row>
    <row r="17" spans="1:17" x14ac:dyDescent="0.35">
      <c r="A17" s="600" t="str">
        <f>Ruumid!A21</f>
        <v>Üürikabinet</v>
      </c>
      <c r="B17" s="600">
        <f>Ruumid!C21</f>
        <v>15.8</v>
      </c>
      <c r="C17" s="600">
        <f>Ruumid!D21</f>
        <v>15.8</v>
      </c>
      <c r="D17" s="645" t="s">
        <v>472</v>
      </c>
      <c r="E17" s="600">
        <v>7</v>
      </c>
      <c r="F17" s="661">
        <v>1</v>
      </c>
      <c r="G17" s="615">
        <f t="shared" si="5"/>
        <v>110.60000000000001</v>
      </c>
      <c r="H17" s="615">
        <f t="shared" si="6"/>
        <v>1327.2</v>
      </c>
      <c r="I17" s="616">
        <f t="shared" si="7"/>
        <v>1.0529973770273295E-2</v>
      </c>
      <c r="J17"/>
      <c r="K17" t="s">
        <v>269</v>
      </c>
      <c r="L17"/>
      <c r="M17" s="488">
        <f t="shared" si="8"/>
        <v>15.8</v>
      </c>
      <c r="N17" s="488">
        <f>B17*F17</f>
        <v>15.8</v>
      </c>
      <c r="O17" s="488">
        <f t="shared" si="9"/>
        <v>0</v>
      </c>
      <c r="P17"/>
      <c r="Q17"/>
    </row>
    <row r="18" spans="1:17" x14ac:dyDescent="0.35">
      <c r="A18" s="629" t="str">
        <f>Ruumid!A24</f>
        <v>5 korrus</v>
      </c>
      <c r="B18" s="631">
        <f>Ruumid!C24</f>
        <v>301.7</v>
      </c>
      <c r="C18" s="631">
        <f>Ruumid!D24</f>
        <v>301.7</v>
      </c>
      <c r="D18" s="659"/>
      <c r="E18" s="659"/>
      <c r="F18" s="659"/>
      <c r="G18" s="660"/>
      <c r="H18" s="660"/>
      <c r="I18" s="660"/>
      <c r="J18"/>
      <c r="K18"/>
      <c r="L18"/>
      <c r="M18" s="488"/>
      <c r="N18" s="488"/>
      <c r="O18" s="488"/>
      <c r="P18"/>
      <c r="Q18"/>
    </row>
    <row r="19" spans="1:17" x14ac:dyDescent="0.35">
      <c r="A19" s="600" t="str">
        <f>Ruumid!A25</f>
        <v>Üürituba</v>
      </c>
      <c r="B19" s="600">
        <f>Ruumid!C25</f>
        <v>111.9</v>
      </c>
      <c r="C19" s="600">
        <f>Ruumid!D25</f>
        <v>111.9</v>
      </c>
      <c r="D19" s="645" t="s">
        <v>472</v>
      </c>
      <c r="E19" s="600">
        <v>55</v>
      </c>
      <c r="F19" s="662">
        <v>0.5</v>
      </c>
      <c r="G19" s="615">
        <f t="shared" si="5"/>
        <v>3077.25</v>
      </c>
      <c r="H19" s="615">
        <f>G19*12</f>
        <v>36927</v>
      </c>
      <c r="I19" s="616">
        <f t="shared" ref="I19:I20" si="10">H19/$H$33</f>
        <v>0.29297795465256321</v>
      </c>
      <c r="J19" s="492"/>
      <c r="K19" t="s">
        <v>269</v>
      </c>
      <c r="L19"/>
      <c r="M19" s="488">
        <f t="shared" ref="M19:M20" si="11">B19</f>
        <v>111.9</v>
      </c>
      <c r="N19" s="488">
        <f>B19*F19</f>
        <v>55.95</v>
      </c>
      <c r="O19" s="488">
        <f t="shared" ref="O19:O20" si="12">M19-N19</f>
        <v>55.95</v>
      </c>
      <c r="P19"/>
      <c r="Q19"/>
    </row>
    <row r="20" spans="1:17" x14ac:dyDescent="0.35">
      <c r="A20" s="600" t="str">
        <f>Ruumid!A27</f>
        <v>Üüriruumid</v>
      </c>
      <c r="B20" s="600">
        <f>Ruumid!C27</f>
        <v>26.4</v>
      </c>
      <c r="C20" s="600">
        <f>Ruumid!D27</f>
        <v>26.4</v>
      </c>
      <c r="D20" s="645" t="s">
        <v>472</v>
      </c>
      <c r="E20" s="600">
        <v>15</v>
      </c>
      <c r="F20" s="662">
        <v>0.5</v>
      </c>
      <c r="G20" s="615">
        <f>C20*E20*F20</f>
        <v>198</v>
      </c>
      <c r="H20" s="615">
        <f>G20*12</f>
        <v>2376</v>
      </c>
      <c r="I20" s="616">
        <f t="shared" si="10"/>
        <v>1.8851128449494686E-2</v>
      </c>
      <c r="J20"/>
      <c r="K20" t="s">
        <v>269</v>
      </c>
      <c r="L20"/>
      <c r="M20" s="488">
        <f t="shared" si="11"/>
        <v>26.4</v>
      </c>
      <c r="N20" s="488">
        <f>B20*F20</f>
        <v>13.2</v>
      </c>
      <c r="O20" s="488">
        <f t="shared" si="12"/>
        <v>13.2</v>
      </c>
      <c r="P20"/>
      <c r="Q20"/>
    </row>
    <row r="21" spans="1:17" x14ac:dyDescent="0.35">
      <c r="A21" s="629"/>
      <c r="B21" s="629"/>
      <c r="C21" s="631"/>
      <c r="D21" s="659"/>
      <c r="E21" s="659"/>
      <c r="F21" s="659"/>
      <c r="G21" s="660"/>
      <c r="H21" s="660"/>
      <c r="I21" s="660"/>
      <c r="J21"/>
      <c r="K21"/>
      <c r="L21"/>
      <c r="M21" s="488"/>
      <c r="N21" s="488"/>
      <c r="O21" s="488"/>
      <c r="P21"/>
      <c r="Q21"/>
    </row>
    <row r="22" spans="1:17" hidden="1" x14ac:dyDescent="0.35">
      <c r="A22" s="600"/>
      <c r="B22" s="600"/>
      <c r="C22" s="600"/>
      <c r="D22" s="645"/>
      <c r="E22" s="600"/>
      <c r="F22" s="661"/>
      <c r="G22" s="615"/>
      <c r="H22" s="615"/>
      <c r="I22" s="616"/>
      <c r="J22"/>
      <c r="K22"/>
      <c r="L22"/>
      <c r="M22" s="488"/>
      <c r="N22" s="488"/>
      <c r="O22" s="488"/>
      <c r="P22"/>
      <c r="Q22"/>
    </row>
    <row r="23" spans="1:17" hidden="1" x14ac:dyDescent="0.35">
      <c r="A23" s="600"/>
      <c r="B23" s="600"/>
      <c r="C23" s="600"/>
      <c r="D23" s="645"/>
      <c r="E23" s="600"/>
      <c r="F23" s="663"/>
      <c r="G23" s="615"/>
      <c r="H23" s="615"/>
      <c r="I23" s="615"/>
      <c r="J23"/>
      <c r="K23"/>
      <c r="L23"/>
      <c r="P23"/>
      <c r="Q23"/>
    </row>
    <row r="24" spans="1:17" ht="15" hidden="1" customHeight="1" x14ac:dyDescent="0.35">
      <c r="A24" s="658"/>
      <c r="B24" s="648"/>
      <c r="C24" s="648"/>
      <c r="D24" s="648"/>
      <c r="E24" s="648"/>
      <c r="F24" s="664"/>
      <c r="G24" s="665"/>
      <c r="H24" s="665"/>
      <c r="I24" s="665"/>
      <c r="J24"/>
      <c r="K24"/>
      <c r="L24"/>
      <c r="M24" s="488"/>
      <c r="N24" s="488"/>
      <c r="O24" s="488"/>
      <c r="P24"/>
      <c r="Q24"/>
    </row>
    <row r="25" spans="1:17" hidden="1" x14ac:dyDescent="0.35">
      <c r="A25" s="600"/>
      <c r="B25" s="600"/>
      <c r="C25" s="600"/>
      <c r="D25" s="600"/>
      <c r="E25" s="600"/>
      <c r="F25" s="600"/>
      <c r="G25" s="615"/>
      <c r="H25" s="615"/>
      <c r="I25" s="615"/>
      <c r="J25"/>
      <c r="K25"/>
      <c r="L25"/>
      <c r="M25" s="488"/>
      <c r="N25" s="488"/>
      <c r="O25" s="488"/>
      <c r="P25"/>
      <c r="Q25"/>
    </row>
    <row r="26" spans="1:17" hidden="1" x14ac:dyDescent="0.35">
      <c r="A26" s="629"/>
      <c r="B26" s="631"/>
      <c r="C26" s="631"/>
      <c r="D26" s="631"/>
      <c r="E26" s="659"/>
      <c r="F26" s="659"/>
      <c r="G26" s="660"/>
      <c r="H26" s="660"/>
      <c r="I26" s="660"/>
      <c r="J26"/>
      <c r="K26"/>
      <c r="L26"/>
      <c r="M26" s="488"/>
      <c r="N26" s="488"/>
      <c r="O26" s="488"/>
      <c r="P26"/>
      <c r="Q26"/>
    </row>
    <row r="27" spans="1:17" hidden="1" x14ac:dyDescent="0.35">
      <c r="A27" s="600"/>
      <c r="B27" s="600"/>
      <c r="C27" s="600"/>
      <c r="D27" s="600"/>
      <c r="E27" s="600"/>
      <c r="F27" s="662"/>
      <c r="G27" s="615"/>
      <c r="H27" s="615"/>
      <c r="I27" s="616"/>
      <c r="J27"/>
      <c r="K27"/>
      <c r="L27"/>
      <c r="M27" s="488"/>
      <c r="N27" s="488"/>
      <c r="O27" s="488"/>
      <c r="P27"/>
      <c r="Q27"/>
    </row>
    <row r="28" spans="1:17" hidden="1" x14ac:dyDescent="0.35">
      <c r="A28" s="600"/>
      <c r="B28" s="600"/>
      <c r="C28" s="600"/>
      <c r="D28" s="600"/>
      <c r="E28" s="600"/>
      <c r="F28" s="662"/>
      <c r="G28" s="615"/>
      <c r="H28" s="615"/>
      <c r="I28" s="616"/>
      <c r="J28"/>
      <c r="K28"/>
      <c r="L28"/>
      <c r="M28" s="488"/>
      <c r="N28" s="488"/>
      <c r="O28" s="488"/>
      <c r="P28"/>
      <c r="Q28"/>
    </row>
    <row r="29" spans="1:17" hidden="1" x14ac:dyDescent="0.35">
      <c r="A29" s="600"/>
      <c r="B29" s="600"/>
      <c r="C29" s="600"/>
      <c r="D29" s="600"/>
      <c r="E29" s="600"/>
      <c r="F29" s="661"/>
      <c r="G29" s="615"/>
      <c r="H29" s="615"/>
      <c r="I29" s="616"/>
      <c r="J29"/>
      <c r="K29"/>
      <c r="L29"/>
      <c r="M29" s="488"/>
      <c r="N29" s="488"/>
      <c r="O29" s="488"/>
      <c r="P29"/>
      <c r="Q29"/>
    </row>
    <row r="30" spans="1:17" hidden="1" x14ac:dyDescent="0.35">
      <c r="A30" s="629"/>
      <c r="B30" s="631"/>
      <c r="C30" s="631"/>
      <c r="D30" s="631"/>
      <c r="E30" s="659"/>
      <c r="F30" s="659"/>
      <c r="G30" s="660"/>
      <c r="H30" s="660"/>
      <c r="I30" s="660"/>
      <c r="J30"/>
      <c r="K30"/>
      <c r="L30"/>
      <c r="M30" s="488"/>
      <c r="N30" s="488"/>
      <c r="O30" s="488"/>
      <c r="P30"/>
      <c r="Q30"/>
    </row>
    <row r="31" spans="1:17" hidden="1" x14ac:dyDescent="0.35">
      <c r="A31" s="640"/>
      <c r="B31" s="600"/>
      <c r="C31" s="600"/>
      <c r="D31" s="600"/>
      <c r="E31" s="600"/>
      <c r="F31" s="661"/>
      <c r="G31" s="615"/>
      <c r="H31" s="615"/>
      <c r="I31" s="616"/>
      <c r="J31"/>
      <c r="K31"/>
      <c r="L31"/>
      <c r="M31" s="488"/>
      <c r="N31" s="488"/>
      <c r="O31" s="488"/>
      <c r="P31"/>
      <c r="Q31"/>
    </row>
    <row r="32" spans="1:17" x14ac:dyDescent="0.35">
      <c r="A32" s="600"/>
      <c r="B32" s="600"/>
      <c r="C32" s="600"/>
      <c r="D32" s="600"/>
      <c r="E32" s="600"/>
      <c r="F32" s="600"/>
      <c r="G32" s="615"/>
      <c r="H32" s="615"/>
      <c r="I32" s="615"/>
      <c r="J32"/>
      <c r="K32"/>
      <c r="L32"/>
      <c r="M32" s="488"/>
      <c r="N32" s="488"/>
      <c r="O32" s="488"/>
      <c r="P32"/>
      <c r="Q32"/>
    </row>
    <row r="33" spans="1:17" x14ac:dyDescent="0.35">
      <c r="A33" s="666" t="s">
        <v>463</v>
      </c>
      <c r="B33" s="600"/>
      <c r="C33" s="600"/>
      <c r="D33" s="600"/>
      <c r="E33" s="600"/>
      <c r="F33" s="600"/>
      <c r="G33" s="667">
        <f>SUM(G7:G32)</f>
        <v>10503.35</v>
      </c>
      <c r="H33" s="667">
        <f>SUM(H7:H32)</f>
        <v>126040.2</v>
      </c>
      <c r="I33" s="667"/>
      <c r="J33"/>
      <c r="K33"/>
      <c r="L33"/>
      <c r="M33" s="500">
        <f>SUM(M6:M22)</f>
        <v>1039.5</v>
      </c>
      <c r="N33" s="500">
        <f>SUM(N6:N22)</f>
        <v>827.05000000000007</v>
      </c>
      <c r="O33" s="500">
        <f>SUM(O6:O22)</f>
        <v>212.45</v>
      </c>
      <c r="P33"/>
      <c r="Q33"/>
    </row>
    <row r="34" spans="1:17" x14ac:dyDescent="0.35">
      <c r="A34" s="603"/>
      <c r="B34" s="603"/>
      <c r="C34" s="603"/>
      <c r="D34" s="603"/>
      <c r="E34" s="603"/>
      <c r="F34" s="603"/>
      <c r="G34" s="603"/>
      <c r="H34" s="603"/>
      <c r="I34" s="603"/>
      <c r="J34"/>
      <c r="K34"/>
      <c r="L34"/>
      <c r="M34" s="603"/>
      <c r="N34" s="723">
        <f>N33/M33</f>
        <v>0.79562289562289568</v>
      </c>
      <c r="O34" s="722">
        <f>O33/M33</f>
        <v>0.20437710437710438</v>
      </c>
      <c r="P34"/>
      <c r="Q34"/>
    </row>
    <row r="35" spans="1:17" x14ac:dyDescent="0.35">
      <c r="A35" s="635" t="s">
        <v>395</v>
      </c>
      <c r="B35" s="603"/>
      <c r="C35" s="603"/>
      <c r="D35" s="603"/>
      <c r="E35" s="603"/>
      <c r="F35" s="603"/>
      <c r="G35" s="603"/>
      <c r="H35" s="603"/>
      <c r="I35" s="603"/>
      <c r="J35"/>
      <c r="K35"/>
      <c r="L35"/>
      <c r="M35"/>
      <c r="N35"/>
      <c r="O35"/>
      <c r="P35"/>
      <c r="Q35"/>
    </row>
    <row r="36" spans="1:17" x14ac:dyDescent="0.35">
      <c r="A36" s="603"/>
      <c r="B36" s="603"/>
      <c r="C36" s="603"/>
      <c r="D36" s="603"/>
      <c r="E36" s="603"/>
      <c r="F36" s="603"/>
      <c r="G36" s="603"/>
      <c r="H36" s="603"/>
      <c r="I36" s="603"/>
      <c r="J36"/>
      <c r="K36"/>
      <c r="L36"/>
      <c r="M36"/>
      <c r="N36"/>
      <c r="O36"/>
      <c r="P36"/>
      <c r="Q36"/>
    </row>
    <row r="37" spans="1:17" x14ac:dyDescent="0.35">
      <c r="A37" s="603"/>
      <c r="B37" s="603"/>
      <c r="C37" s="603"/>
      <c r="D37" s="603"/>
      <c r="E37" s="603"/>
      <c r="F37" s="603"/>
      <c r="G37" s="603"/>
      <c r="H37" s="603"/>
      <c r="I37" s="603"/>
      <c r="J37"/>
      <c r="K37"/>
      <c r="L37"/>
      <c r="M37"/>
      <c r="N37"/>
      <c r="O37"/>
      <c r="P37"/>
      <c r="Q37"/>
    </row>
    <row r="38" spans="1:17" ht="29" x14ac:dyDescent="0.35">
      <c r="A38" s="668"/>
      <c r="B38" s="668"/>
      <c r="C38" s="668"/>
      <c r="D38" s="668"/>
      <c r="E38" s="668"/>
      <c r="F38" s="668"/>
      <c r="G38" s="669" t="s">
        <v>474</v>
      </c>
      <c r="H38" s="669" t="s">
        <v>475</v>
      </c>
      <c r="I38" s="669" t="s">
        <v>283</v>
      </c>
      <c r="J38" s="498"/>
      <c r="K38"/>
      <c r="L38"/>
      <c r="M38"/>
      <c r="N38"/>
      <c r="O38"/>
      <c r="P38"/>
      <c r="Q38"/>
    </row>
    <row r="39" spans="1:17" x14ac:dyDescent="0.35">
      <c r="A39" s="600" t="s">
        <v>287</v>
      </c>
      <c r="B39" s="600"/>
      <c r="C39" s="600"/>
      <c r="D39" s="600"/>
      <c r="E39" s="600"/>
      <c r="F39" s="600"/>
      <c r="G39" s="615">
        <f>H39/12</f>
        <v>276.66948586738073</v>
      </c>
      <c r="H39" s="615">
        <f>Kulud50!F5</f>
        <v>3320.0338304085685</v>
      </c>
      <c r="I39" s="616">
        <f>H39/$H$47</f>
        <v>0.15256299502239967</v>
      </c>
      <c r="J39" s="499"/>
      <c r="K39"/>
      <c r="L39"/>
      <c r="M39"/>
      <c r="N39"/>
      <c r="O39"/>
      <c r="P39"/>
      <c r="Q39"/>
    </row>
    <row r="40" spans="1:17" x14ac:dyDescent="0.35">
      <c r="A40" s="600" t="s">
        <v>464</v>
      </c>
      <c r="B40" s="600"/>
      <c r="C40" s="600"/>
      <c r="D40" s="600"/>
      <c r="E40" s="600"/>
      <c r="F40" s="600"/>
      <c r="G40" s="615">
        <f t="shared" ref="G40:G45" si="13">H40/12</f>
        <v>42.597530103591176</v>
      </c>
      <c r="H40" s="615">
        <f>Kulud50!F14</f>
        <v>511.17036124309408</v>
      </c>
      <c r="I40" s="616">
        <f t="shared" ref="I40:I45" si="14">H40/$H$47</f>
        <v>2.3489423681062719E-2</v>
      </c>
      <c r="J40" s="499"/>
      <c r="K40"/>
      <c r="L40"/>
      <c r="M40"/>
      <c r="N40"/>
      <c r="O40"/>
      <c r="P40"/>
      <c r="Q40"/>
    </row>
    <row r="41" spans="1:17" x14ac:dyDescent="0.35">
      <c r="A41" s="600" t="s">
        <v>398</v>
      </c>
      <c r="B41" s="600"/>
      <c r="C41" s="600"/>
      <c r="D41" s="600"/>
      <c r="E41" s="600"/>
      <c r="F41" s="600"/>
      <c r="G41" s="615">
        <f t="shared" si="13"/>
        <v>159.31920342063114</v>
      </c>
      <c r="H41" s="615">
        <f>Kulud50!F20</f>
        <v>1911.8304410475737</v>
      </c>
      <c r="I41" s="616">
        <f t="shared" si="14"/>
        <v>8.7852893362029144E-2</v>
      </c>
      <c r="J41" s="499"/>
      <c r="K41"/>
      <c r="L41"/>
      <c r="M41"/>
      <c r="N41"/>
      <c r="O41"/>
      <c r="P41"/>
      <c r="Q41"/>
    </row>
    <row r="42" spans="1:17" x14ac:dyDescent="0.35">
      <c r="A42" s="600" t="s">
        <v>465</v>
      </c>
      <c r="B42" s="600"/>
      <c r="C42" s="600"/>
      <c r="D42" s="600"/>
      <c r="E42" s="600"/>
      <c r="F42" s="600"/>
      <c r="G42" s="615">
        <f t="shared" si="13"/>
        <v>534.2609434764131</v>
      </c>
      <c r="H42" s="615">
        <f>Kulud50!F43</f>
        <v>6411.1313217169572</v>
      </c>
      <c r="I42" s="616">
        <f t="shared" si="14"/>
        <v>0.29460585219479163</v>
      </c>
      <c r="J42" s="499"/>
      <c r="K42"/>
      <c r="L42"/>
      <c r="M42"/>
      <c r="N42"/>
      <c r="O42"/>
      <c r="P42"/>
      <c r="Q42"/>
    </row>
    <row r="43" spans="1:17" x14ac:dyDescent="0.35">
      <c r="A43" s="600" t="s">
        <v>403</v>
      </c>
      <c r="B43" s="600"/>
      <c r="C43" s="600"/>
      <c r="D43" s="600"/>
      <c r="E43" s="600"/>
      <c r="F43" s="600"/>
      <c r="G43" s="615">
        <f t="shared" si="13"/>
        <v>378.84490366907494</v>
      </c>
      <c r="H43" s="615">
        <f>Kulud50!F48</f>
        <v>4546.1388440288993</v>
      </c>
      <c r="I43" s="616">
        <f t="shared" si="14"/>
        <v>0.2089052682175129</v>
      </c>
      <c r="J43" s="499"/>
      <c r="K43"/>
      <c r="L43"/>
      <c r="M43"/>
      <c r="N43"/>
      <c r="O43"/>
      <c r="P43"/>
      <c r="Q43"/>
    </row>
    <row r="44" spans="1:17" x14ac:dyDescent="0.35">
      <c r="A44" s="600" t="s">
        <v>404</v>
      </c>
      <c r="B44" s="600"/>
      <c r="C44" s="600"/>
      <c r="D44" s="600"/>
      <c r="E44" s="600"/>
      <c r="F44" s="600"/>
      <c r="G44" s="615">
        <f t="shared" si="13"/>
        <v>281.18997025074378</v>
      </c>
      <c r="H44" s="615">
        <f>Kulud50!F54</f>
        <v>3374.2796430089252</v>
      </c>
      <c r="I44" s="616">
        <f t="shared" si="14"/>
        <v>0.15505571168146931</v>
      </c>
      <c r="J44" s="499"/>
      <c r="K44"/>
      <c r="L44"/>
      <c r="M44"/>
      <c r="N44"/>
      <c r="O44"/>
      <c r="P44"/>
      <c r="Q44"/>
    </row>
    <row r="45" spans="1:17" x14ac:dyDescent="0.35">
      <c r="A45" s="615" t="s">
        <v>406</v>
      </c>
      <c r="B45" s="600"/>
      <c r="C45" s="600"/>
      <c r="D45" s="600"/>
      <c r="E45" s="600"/>
      <c r="F45" s="600"/>
      <c r="G45" s="615">
        <f t="shared" si="13"/>
        <v>140.59498512537189</v>
      </c>
      <c r="H45" s="615">
        <f>Kulud50!F56</f>
        <v>1687.1398215044626</v>
      </c>
      <c r="I45" s="616">
        <f t="shared" si="14"/>
        <v>7.7527855840734655E-2</v>
      </c>
      <c r="J45" s="499"/>
      <c r="K45"/>
      <c r="L45"/>
      <c r="M45"/>
      <c r="N45"/>
      <c r="O45"/>
      <c r="P45"/>
      <c r="Q45"/>
    </row>
    <row r="46" spans="1:17" x14ac:dyDescent="0.35">
      <c r="A46" s="600"/>
      <c r="B46" s="600"/>
      <c r="C46" s="600"/>
      <c r="D46" s="600"/>
      <c r="E46" s="600"/>
      <c r="F46" s="600"/>
      <c r="G46" s="615"/>
      <c r="H46" s="615"/>
      <c r="I46" s="616"/>
      <c r="J46" s="499"/>
      <c r="K46"/>
      <c r="L46"/>
      <c r="M46"/>
      <c r="N46"/>
      <c r="O46"/>
      <c r="P46"/>
      <c r="Q46"/>
    </row>
    <row r="47" spans="1:17" x14ac:dyDescent="0.35">
      <c r="A47" s="666" t="s">
        <v>466</v>
      </c>
      <c r="B47" s="600"/>
      <c r="C47" s="600"/>
      <c r="D47" s="600"/>
      <c r="E47" s="600"/>
      <c r="F47" s="600"/>
      <c r="G47" s="667">
        <f>SUM(G39:G46)</f>
        <v>1813.4770219132067</v>
      </c>
      <c r="H47" s="667">
        <f>SUM(H39:H46)</f>
        <v>21761.72426295848</v>
      </c>
      <c r="I47" s="670">
        <f>SUM(I39:I46)</f>
        <v>1</v>
      </c>
      <c r="J47" s="501"/>
      <c r="K47"/>
      <c r="L47"/>
      <c r="M47"/>
      <c r="N47"/>
      <c r="O47"/>
      <c r="P47"/>
      <c r="Q47"/>
    </row>
    <row r="48" spans="1:17" x14ac:dyDescent="0.35">
      <c r="A48"/>
      <c r="B48"/>
      <c r="C48"/>
      <c r="D48"/>
      <c r="E48"/>
      <c r="F48"/>
      <c r="G48"/>
      <c r="H48"/>
      <c r="I48"/>
      <c r="J48"/>
      <c r="K48"/>
      <c r="L48"/>
      <c r="M48"/>
      <c r="N48"/>
      <c r="O48"/>
      <c r="P48"/>
      <c r="Q48"/>
    </row>
    <row r="49" spans="1:17" x14ac:dyDescent="0.35">
      <c r="A49" s="618" t="s">
        <v>65</v>
      </c>
      <c r="B49" s="502"/>
      <c r="C49" s="502"/>
      <c r="D49" s="502"/>
      <c r="E49" s="502"/>
      <c r="F49" s="502"/>
      <c r="G49" s="503">
        <f>F36+G47</f>
        <v>1813.4770219132067</v>
      </c>
      <c r="H49" s="503">
        <f>G36+H47</f>
        <v>21761.72426295848</v>
      </c>
      <c r="I49" s="504"/>
      <c r="J49"/>
      <c r="K49"/>
      <c r="L49"/>
      <c r="M49"/>
      <c r="N49"/>
      <c r="O49"/>
      <c r="P49"/>
      <c r="Q49"/>
    </row>
    <row r="50" spans="1:17" x14ac:dyDescent="0.35">
      <c r="A50"/>
      <c r="B50"/>
      <c r="C50"/>
      <c r="D50"/>
      <c r="E50"/>
      <c r="F50"/>
      <c r="G50"/>
      <c r="H50"/>
      <c r="I50"/>
      <c r="J50"/>
      <c r="K50"/>
      <c r="L50"/>
      <c r="M50"/>
      <c r="N50"/>
      <c r="O50"/>
      <c r="P50"/>
      <c r="Q50"/>
    </row>
    <row r="51" spans="1:17" x14ac:dyDescent="0.35">
      <c r="A51"/>
      <c r="B51"/>
      <c r="C51"/>
      <c r="D51"/>
      <c r="E51"/>
      <c r="F51"/>
      <c r="G51"/>
      <c r="H51"/>
      <c r="I51"/>
      <c r="J51"/>
      <c r="K51"/>
      <c r="L51"/>
      <c r="M51"/>
      <c r="N51"/>
      <c r="O51"/>
      <c r="P51"/>
      <c r="Q51"/>
    </row>
    <row r="52" spans="1:17" x14ac:dyDescent="0.35">
      <c r="A52"/>
      <c r="B52"/>
      <c r="C52"/>
      <c r="D52"/>
      <c r="E52"/>
      <c r="F52"/>
      <c r="G52"/>
      <c r="H52"/>
      <c r="I52"/>
      <c r="J52"/>
      <c r="K52"/>
      <c r="L52"/>
      <c r="M52"/>
      <c r="N52"/>
      <c r="O52"/>
      <c r="P52"/>
      <c r="Q52"/>
    </row>
  </sheetData>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0"/>
  <sheetViews>
    <sheetView topLeftCell="A39" workbookViewId="0">
      <selection activeCell="I30" sqref="I30"/>
    </sheetView>
  </sheetViews>
  <sheetFormatPr defaultColWidth="9.1796875" defaultRowHeight="14.5" x14ac:dyDescent="0.35"/>
  <cols>
    <col min="1" max="1" width="25.1796875" style="711" customWidth="1"/>
    <col min="2" max="2" width="15.1796875" style="711" customWidth="1"/>
    <col min="3" max="3" width="14.7265625" style="711" customWidth="1"/>
    <col min="4" max="4" width="13.1796875" style="711" customWidth="1"/>
    <col min="5" max="5" width="13.26953125" style="711" customWidth="1"/>
    <col min="6" max="6" width="8.81640625" style="711" customWidth="1"/>
    <col min="7" max="7" width="12.453125" style="711" customWidth="1"/>
    <col min="8" max="8" width="14.26953125" style="711" customWidth="1"/>
    <col min="9" max="9" width="13.26953125" style="711" customWidth="1"/>
    <col min="10" max="10" width="17" style="711" customWidth="1"/>
    <col min="11" max="16384" width="9.1796875" style="711"/>
  </cols>
  <sheetData>
    <row r="1" spans="1:8" x14ac:dyDescent="0.35">
      <c r="A1" s="635" t="s">
        <v>420</v>
      </c>
      <c r="B1" s="635"/>
      <c r="C1" s="603"/>
      <c r="D1" s="603"/>
      <c r="E1" s="636"/>
      <c r="F1" s="601"/>
      <c r="G1" s="601"/>
      <c r="H1" s="603"/>
    </row>
    <row r="2" spans="1:8" x14ac:dyDescent="0.35">
      <c r="A2" s="603"/>
      <c r="B2" s="603"/>
      <c r="C2" s="603"/>
      <c r="D2" s="603"/>
      <c r="E2" s="602"/>
      <c r="F2" s="603"/>
      <c r="G2" s="603"/>
      <c r="H2" s="603"/>
    </row>
    <row r="3" spans="1:8" x14ac:dyDescent="0.35">
      <c r="A3" s="635" t="s">
        <v>421</v>
      </c>
      <c r="B3" s="635"/>
      <c r="C3" s="603"/>
      <c r="D3" s="601"/>
      <c r="E3" s="602"/>
      <c r="F3" s="603"/>
      <c r="G3" s="603"/>
      <c r="H3" s="603"/>
    </row>
    <row r="4" spans="1:8" x14ac:dyDescent="0.35">
      <c r="A4" s="637" t="s">
        <v>545</v>
      </c>
      <c r="B4" s="600" t="s">
        <v>546</v>
      </c>
      <c r="C4" s="600">
        <v>62.78</v>
      </c>
      <c r="D4" s="601"/>
      <c r="E4" s="602"/>
      <c r="F4" s="603"/>
      <c r="G4" s="603"/>
      <c r="H4" s="603"/>
    </row>
    <row r="5" spans="1:8" x14ac:dyDescent="0.35">
      <c r="A5" s="637" t="s">
        <v>422</v>
      </c>
      <c r="B5" s="600" t="s">
        <v>427</v>
      </c>
      <c r="C5" s="488">
        <f>0.115+0.115*0.3</f>
        <v>0.14950000000000002</v>
      </c>
      <c r="D5" s="604"/>
      <c r="E5" s="602"/>
      <c r="F5" s="603"/>
      <c r="G5" s="605"/>
      <c r="H5" s="603"/>
    </row>
    <row r="6" spans="1:8" x14ac:dyDescent="0.35">
      <c r="A6" s="637" t="s">
        <v>423</v>
      </c>
      <c r="B6" s="600" t="s">
        <v>426</v>
      </c>
      <c r="C6" s="600">
        <v>1.7529999999999999</v>
      </c>
      <c r="D6" s="601"/>
      <c r="E6" s="602"/>
      <c r="F6" s="603"/>
      <c r="G6" s="603"/>
      <c r="H6" s="603"/>
    </row>
    <row r="7" spans="1:8" x14ac:dyDescent="0.35">
      <c r="A7" s="637" t="s">
        <v>424</v>
      </c>
      <c r="B7" s="600" t="s">
        <v>426</v>
      </c>
      <c r="C7" s="600">
        <v>5</v>
      </c>
      <c r="D7" s="601"/>
      <c r="E7" s="602"/>
      <c r="F7" s="603"/>
      <c r="G7" s="603"/>
      <c r="H7" s="603"/>
    </row>
    <row r="8" spans="1:8" x14ac:dyDescent="0.35">
      <c r="A8" s="637" t="s">
        <v>425</v>
      </c>
      <c r="B8" s="600" t="s">
        <v>426</v>
      </c>
      <c r="C8" s="600">
        <v>1.39</v>
      </c>
      <c r="D8" s="601"/>
      <c r="E8" s="602"/>
      <c r="F8" s="603"/>
      <c r="G8" s="603"/>
      <c r="H8" s="603"/>
    </row>
    <row r="9" spans="1:8" x14ac:dyDescent="0.35">
      <c r="A9" s="603"/>
      <c r="B9" s="603"/>
      <c r="C9" s="603"/>
      <c r="D9" s="603"/>
      <c r="E9" s="602"/>
      <c r="F9" s="603"/>
      <c r="G9" s="603"/>
      <c r="H9" s="603"/>
    </row>
    <row r="10" spans="1:8" x14ac:dyDescent="0.35">
      <c r="A10" s="635" t="s">
        <v>428</v>
      </c>
      <c r="B10" s="635"/>
      <c r="C10" s="603"/>
      <c r="D10" s="603"/>
      <c r="E10" s="602"/>
      <c r="F10" s="603"/>
      <c r="G10" s="603"/>
      <c r="H10" s="603"/>
    </row>
    <row r="11" spans="1:8" ht="29" x14ac:dyDescent="0.35">
      <c r="A11" s="637"/>
      <c r="B11" s="638" t="s">
        <v>2</v>
      </c>
      <c r="C11" s="606" t="s">
        <v>429</v>
      </c>
      <c r="D11" s="607" t="s">
        <v>430</v>
      </c>
      <c r="E11" s="602"/>
      <c r="F11" s="603"/>
      <c r="G11" s="603"/>
      <c r="H11" s="603"/>
    </row>
    <row r="12" spans="1:8" x14ac:dyDescent="0.35">
      <c r="A12" s="637" t="s">
        <v>545</v>
      </c>
      <c r="B12" s="639"/>
      <c r="C12" s="606"/>
      <c r="D12" s="607"/>
      <c r="E12" s="602"/>
      <c r="F12" s="603"/>
      <c r="G12" s="603"/>
      <c r="H12" s="603"/>
    </row>
    <row r="13" spans="1:8" hidden="1" x14ac:dyDescent="0.35">
      <c r="A13" s="634"/>
      <c r="B13" s="640"/>
      <c r="C13" s="608"/>
      <c r="D13" s="608"/>
      <c r="E13" s="602"/>
      <c r="F13" s="603"/>
      <c r="G13" s="609"/>
      <c r="H13" s="603"/>
    </row>
    <row r="14" spans="1:8" x14ac:dyDescent="0.35">
      <c r="A14" s="634" t="s">
        <v>279</v>
      </c>
      <c r="B14" s="640" t="s">
        <v>547</v>
      </c>
      <c r="C14" s="610">
        <v>11.6</v>
      </c>
      <c r="D14" s="610">
        <f>C14</f>
        <v>11.6</v>
      </c>
      <c r="E14" s="602"/>
      <c r="F14" s="603"/>
      <c r="G14" s="603"/>
      <c r="H14" s="603"/>
    </row>
    <row r="15" spans="1:8" x14ac:dyDescent="0.35">
      <c r="A15" s="637" t="s">
        <v>422</v>
      </c>
      <c r="B15" s="607"/>
      <c r="C15" s="600"/>
      <c r="D15" s="603"/>
      <c r="E15" s="602"/>
      <c r="F15" s="603"/>
      <c r="G15" s="603"/>
      <c r="H15" s="603"/>
    </row>
    <row r="16" spans="1:8" ht="14.25" hidden="1" customHeight="1" x14ac:dyDescent="0.35">
      <c r="A16" s="641"/>
      <c r="B16" s="640"/>
      <c r="C16" s="610"/>
      <c r="D16" s="603"/>
      <c r="E16" s="602"/>
      <c r="F16" s="603"/>
      <c r="G16" s="603"/>
      <c r="H16" s="603"/>
    </row>
    <row r="17" spans="1:8" ht="14.25" customHeight="1" x14ac:dyDescent="0.35">
      <c r="A17" s="641" t="s">
        <v>279</v>
      </c>
      <c r="B17" s="640" t="s">
        <v>432</v>
      </c>
      <c r="C17" s="610">
        <v>4</v>
      </c>
      <c r="D17" s="611"/>
      <c r="E17" s="602"/>
      <c r="F17" s="603"/>
      <c r="G17" s="603"/>
      <c r="H17" s="603"/>
    </row>
    <row r="18" spans="1:8" ht="14.25" customHeight="1" x14ac:dyDescent="0.35">
      <c r="A18" s="637" t="s">
        <v>398</v>
      </c>
      <c r="B18" s="607" t="s">
        <v>433</v>
      </c>
      <c r="C18" s="600">
        <f>50*21/1000</f>
        <v>1.05</v>
      </c>
      <c r="D18" s="603"/>
      <c r="E18" s="602"/>
      <c r="F18" s="603"/>
      <c r="G18" s="603"/>
      <c r="H18" s="603"/>
    </row>
    <row r="19" spans="1:8" ht="14.25" customHeight="1" x14ac:dyDescent="0.35">
      <c r="A19" s="634" t="s">
        <v>399</v>
      </c>
      <c r="B19" s="607" t="s">
        <v>433</v>
      </c>
      <c r="C19" s="600">
        <f>C18*0.6</f>
        <v>0.63</v>
      </c>
      <c r="D19" s="603"/>
      <c r="E19" s="602"/>
      <c r="F19" s="603"/>
      <c r="G19" s="603"/>
      <c r="H19" s="603"/>
    </row>
    <row r="20" spans="1:8" ht="14.25" customHeight="1" x14ac:dyDescent="0.35">
      <c r="A20" s="634" t="s">
        <v>400</v>
      </c>
      <c r="B20" s="607" t="s">
        <v>433</v>
      </c>
      <c r="C20" s="600">
        <f>C18*0.4</f>
        <v>0.42000000000000004</v>
      </c>
      <c r="D20" s="603"/>
      <c r="E20" s="602"/>
      <c r="F20" s="603"/>
      <c r="G20" s="612"/>
      <c r="H20" s="603"/>
    </row>
    <row r="21" spans="1:8" x14ac:dyDescent="0.35">
      <c r="A21" s="603"/>
      <c r="B21" s="603"/>
      <c r="C21" s="603"/>
      <c r="D21" s="603"/>
      <c r="E21" s="602"/>
      <c r="F21" s="603"/>
      <c r="G21" s="603"/>
      <c r="H21" s="603"/>
    </row>
    <row r="22" spans="1:8" ht="18.75" customHeight="1" x14ac:dyDescent="0.35">
      <c r="A22" s="635" t="s">
        <v>434</v>
      </c>
      <c r="B22" s="642"/>
      <c r="C22" s="613"/>
      <c r="D22" s="613"/>
      <c r="E22" s="614"/>
      <c r="F22" s="603"/>
      <c r="G22" s="603"/>
      <c r="H22" s="603"/>
    </row>
    <row r="23" spans="1:8" ht="18.75" customHeight="1" x14ac:dyDescent="0.35">
      <c r="A23" s="643" t="s">
        <v>281</v>
      </c>
      <c r="B23" s="861" t="s">
        <v>2</v>
      </c>
      <c r="C23" s="861" t="s">
        <v>342</v>
      </c>
      <c r="D23" s="861" t="s">
        <v>429</v>
      </c>
      <c r="E23" s="866" t="s">
        <v>435</v>
      </c>
      <c r="F23" s="861" t="s">
        <v>271</v>
      </c>
      <c r="G23" s="861" t="s">
        <v>275</v>
      </c>
      <c r="H23" s="603"/>
    </row>
    <row r="24" spans="1:8" x14ac:dyDescent="0.35">
      <c r="A24" s="644"/>
      <c r="B24" s="862"/>
      <c r="C24" s="862"/>
      <c r="D24" s="862"/>
      <c r="E24" s="867"/>
      <c r="F24" s="862"/>
      <c r="G24" s="862"/>
      <c r="H24" s="603"/>
    </row>
    <row r="25" spans="1:8" hidden="1" x14ac:dyDescent="0.35">
      <c r="A25" s="600" t="s">
        <v>431</v>
      </c>
      <c r="B25" s="645" t="s">
        <v>280</v>
      </c>
      <c r="C25" s="615"/>
      <c r="D25" s="615"/>
      <c r="E25" s="615"/>
      <c r="F25" s="600"/>
      <c r="G25" s="615"/>
      <c r="H25" s="603"/>
    </row>
    <row r="26" spans="1:8" hidden="1" x14ac:dyDescent="0.35">
      <c r="A26" s="600"/>
      <c r="B26" s="645"/>
      <c r="C26" s="616"/>
      <c r="D26" s="616"/>
      <c r="E26" s="616"/>
      <c r="F26" s="600"/>
      <c r="G26" s="616"/>
      <c r="H26" s="603"/>
    </row>
    <row r="27" spans="1:8" x14ac:dyDescent="0.35">
      <c r="A27" s="600" t="s">
        <v>279</v>
      </c>
      <c r="B27" s="645" t="s">
        <v>280</v>
      </c>
      <c r="C27" s="617">
        <f>Ruumid!C36</f>
        <v>1621.3000000000002</v>
      </c>
      <c r="D27" s="617">
        <f>Tulud75!N33</f>
        <v>896.92499999999995</v>
      </c>
      <c r="E27" s="617">
        <f>Tulud75!O33</f>
        <v>142.57499999999999</v>
      </c>
      <c r="F27" s="600">
        <f>Ruumid!C26</f>
        <v>137</v>
      </c>
      <c r="G27" s="615">
        <f>Ruumid!C38</f>
        <v>397.9</v>
      </c>
      <c r="H27" s="603"/>
    </row>
    <row r="28" spans="1:8" x14ac:dyDescent="0.35">
      <c r="A28" s="600"/>
      <c r="B28" s="645"/>
      <c r="C28" s="616">
        <f>C27/$C$27</f>
        <v>1</v>
      </c>
      <c r="D28" s="616">
        <f>D27/$C$27</f>
        <v>0.55321347067168314</v>
      </c>
      <c r="E28" s="616">
        <f>E27/$C$27</f>
        <v>8.7938691173749445E-2</v>
      </c>
      <c r="F28" s="616">
        <f>F27/$C$27</f>
        <v>8.4500092518349459E-2</v>
      </c>
      <c r="G28" s="616">
        <f>G27/$C$27</f>
        <v>0.24542034170110402</v>
      </c>
      <c r="H28" s="603"/>
    </row>
    <row r="29" spans="1:8" x14ac:dyDescent="0.35">
      <c r="A29" s="603"/>
      <c r="B29" s="646"/>
      <c r="C29" s="647"/>
      <c r="D29" s="647"/>
      <c r="E29" s="647"/>
      <c r="F29" s="647"/>
      <c r="G29" s="647"/>
      <c r="H29" s="603"/>
    </row>
    <row r="30" spans="1:8" x14ac:dyDescent="0.35">
      <c r="A30" s="635" t="s">
        <v>459</v>
      </c>
      <c r="B30" s="646"/>
      <c r="C30" s="647"/>
      <c r="D30" s="647"/>
      <c r="E30" s="647"/>
      <c r="F30" s="647"/>
      <c r="G30" s="647"/>
      <c r="H30" s="603"/>
    </row>
    <row r="31" spans="1:8" ht="15" customHeight="1" x14ac:dyDescent="0.35">
      <c r="A31" s="643" t="s">
        <v>281</v>
      </c>
      <c r="B31" s="863" t="s">
        <v>2</v>
      </c>
      <c r="C31" s="865" t="s">
        <v>460</v>
      </c>
      <c r="D31" s="865"/>
      <c r="E31" s="865"/>
      <c r="F31" s="603"/>
      <c r="G31" s="603"/>
      <c r="H31" s="603"/>
    </row>
    <row r="32" spans="1:8" ht="43.5" x14ac:dyDescent="0.35">
      <c r="A32" s="644"/>
      <c r="B32" s="864"/>
      <c r="C32" s="648" t="s">
        <v>461</v>
      </c>
      <c r="D32" s="649" t="s">
        <v>462</v>
      </c>
      <c r="E32" s="648" t="s">
        <v>342</v>
      </c>
      <c r="F32" s="603"/>
      <c r="G32" s="603"/>
      <c r="H32" s="603"/>
    </row>
    <row r="33" spans="1:8" hidden="1" x14ac:dyDescent="0.35">
      <c r="A33" s="600" t="s">
        <v>431</v>
      </c>
      <c r="B33" s="650" t="s">
        <v>280</v>
      </c>
      <c r="C33" s="615"/>
      <c r="D33" s="615"/>
      <c r="E33" s="615"/>
      <c r="F33" s="603"/>
      <c r="G33" s="603"/>
      <c r="H33" s="603"/>
    </row>
    <row r="34" spans="1:8" hidden="1" x14ac:dyDescent="0.35">
      <c r="A34" s="600"/>
      <c r="B34" s="650"/>
      <c r="C34" s="616"/>
      <c r="D34" s="616"/>
      <c r="E34" s="616"/>
      <c r="F34" s="603"/>
      <c r="G34" s="603"/>
      <c r="H34" s="603"/>
    </row>
    <row r="35" spans="1:8" x14ac:dyDescent="0.35">
      <c r="A35" s="600" t="s">
        <v>279</v>
      </c>
      <c r="B35" s="650" t="s">
        <v>280</v>
      </c>
      <c r="C35" s="617">
        <f>Tulud75!N33</f>
        <v>896.92499999999995</v>
      </c>
      <c r="D35" s="617">
        <f>Tulud75!O33+Ruumid!C26</f>
        <v>279.57499999999999</v>
      </c>
      <c r="E35" s="615">
        <f>SUM(C35:D35)</f>
        <v>1176.5</v>
      </c>
      <c r="F35" s="603"/>
      <c r="G35" s="603"/>
      <c r="H35" s="603"/>
    </row>
    <row r="36" spans="1:8" x14ac:dyDescent="0.35">
      <c r="A36" s="600"/>
      <c r="B36" s="650"/>
      <c r="C36" s="616">
        <f>C35/E35</f>
        <v>0.76236719082022941</v>
      </c>
      <c r="D36" s="616">
        <f>D35/E35</f>
        <v>0.2376328091797705</v>
      </c>
      <c r="E36" s="616">
        <f>E35/E35</f>
        <v>1</v>
      </c>
      <c r="F36" s="603"/>
      <c r="G36" s="603"/>
      <c r="H36" s="603"/>
    </row>
    <row r="37" spans="1:8" x14ac:dyDescent="0.35">
      <c r="A37" s="600" t="s">
        <v>342</v>
      </c>
      <c r="B37" s="651" t="s">
        <v>280</v>
      </c>
      <c r="C37" s="652">
        <f>C33+C35</f>
        <v>896.92499999999995</v>
      </c>
      <c r="D37" s="652">
        <f>D33+D35</f>
        <v>279.57499999999999</v>
      </c>
      <c r="E37" s="652">
        <f>E33+E35</f>
        <v>1176.5</v>
      </c>
      <c r="F37" s="603"/>
      <c r="G37" s="603"/>
      <c r="H37" s="603"/>
    </row>
    <row r="38" spans="1:8" x14ac:dyDescent="0.35">
      <c r="A38" s="600"/>
      <c r="B38" s="650"/>
      <c r="C38" s="616">
        <f>C37/E37</f>
        <v>0.76236719082022941</v>
      </c>
      <c r="D38" s="616">
        <f>D37/E37</f>
        <v>0.2376328091797705</v>
      </c>
      <c r="E38" s="616">
        <f>E37/E37</f>
        <v>1</v>
      </c>
      <c r="F38" s="603"/>
      <c r="G38" s="603"/>
      <c r="H38" s="603"/>
    </row>
    <row r="39" spans="1:8" x14ac:dyDescent="0.35">
      <c r="A39" s="603"/>
      <c r="B39" s="603"/>
      <c r="C39" s="603"/>
      <c r="D39" s="603"/>
      <c r="E39" s="602"/>
      <c r="F39" s="603"/>
      <c r="G39" s="603"/>
      <c r="H39" s="603"/>
    </row>
    <row r="40" spans="1:8" x14ac:dyDescent="0.35">
      <c r="A40" s="635" t="s">
        <v>436</v>
      </c>
      <c r="B40" s="603"/>
      <c r="C40" s="603"/>
      <c r="D40" s="603"/>
      <c r="E40" s="602"/>
      <c r="F40" s="603"/>
      <c r="G40" s="603" t="s">
        <v>441</v>
      </c>
      <c r="H40" s="603"/>
    </row>
    <row r="41" spans="1:8" ht="43.5" x14ac:dyDescent="0.35">
      <c r="A41" s="653" t="s">
        <v>281</v>
      </c>
      <c r="B41" s="648" t="str">
        <f>B23</f>
        <v>Ühik</v>
      </c>
      <c r="C41" s="648" t="s">
        <v>438</v>
      </c>
      <c r="D41" s="649" t="s">
        <v>439</v>
      </c>
      <c r="E41" s="649" t="s">
        <v>440</v>
      </c>
      <c r="F41" s="603"/>
      <c r="G41" s="648" t="s">
        <v>442</v>
      </c>
      <c r="H41" s="648" t="s">
        <v>443</v>
      </c>
    </row>
    <row r="42" spans="1:8" hidden="1" x14ac:dyDescent="0.35">
      <c r="A42" s="600" t="str">
        <f>A33</f>
        <v>Stuudio</v>
      </c>
      <c r="B42" s="600" t="s">
        <v>437</v>
      </c>
      <c r="C42" s="654"/>
      <c r="D42" s="600"/>
      <c r="E42" s="615"/>
      <c r="F42" s="603"/>
      <c r="G42" s="654"/>
      <c r="H42" s="600"/>
    </row>
    <row r="43" spans="1:8" x14ac:dyDescent="0.35">
      <c r="A43" s="600" t="str">
        <f>A35</f>
        <v>Inkubaator</v>
      </c>
      <c r="B43" s="600" t="s">
        <v>437</v>
      </c>
      <c r="C43" s="654">
        <v>1</v>
      </c>
      <c r="D43" s="600">
        <f>C43*8</f>
        <v>8</v>
      </c>
      <c r="E43" s="615">
        <f>D43*250</f>
        <v>2000</v>
      </c>
      <c r="F43" s="603"/>
      <c r="G43" s="654">
        <v>3</v>
      </c>
      <c r="H43" s="600">
        <f>G43*250</f>
        <v>750</v>
      </c>
    </row>
    <row r="44" spans="1:8" x14ac:dyDescent="0.35">
      <c r="A44" s="603"/>
      <c r="B44" s="603"/>
      <c r="C44" s="603"/>
      <c r="D44" s="603"/>
      <c r="E44" s="602"/>
      <c r="F44" s="603"/>
      <c r="G44" s="603"/>
      <c r="H44" s="603"/>
    </row>
    <row r="45" spans="1:8" x14ac:dyDescent="0.35">
      <c r="A45" s="635" t="s">
        <v>444</v>
      </c>
      <c r="B45" s="603"/>
      <c r="C45" s="603"/>
      <c r="D45" s="603"/>
      <c r="E45" s="603"/>
      <c r="F45" s="603"/>
      <c r="G45" s="603"/>
      <c r="H45" s="603"/>
    </row>
    <row r="46" spans="1:8" ht="29" x14ac:dyDescent="0.35">
      <c r="A46" s="653" t="s">
        <v>281</v>
      </c>
      <c r="B46" s="648" t="s">
        <v>446</v>
      </c>
      <c r="C46" s="648" t="s">
        <v>445</v>
      </c>
      <c r="D46" s="603"/>
      <c r="E46" s="603"/>
      <c r="F46" s="603"/>
      <c r="G46" s="603"/>
      <c r="H46" s="603"/>
    </row>
    <row r="47" spans="1:8" hidden="1" x14ac:dyDescent="0.35">
      <c r="A47" s="600" t="str">
        <f>A42</f>
        <v>Stuudio</v>
      </c>
      <c r="B47" s="600"/>
      <c r="C47" s="617"/>
      <c r="D47" s="603"/>
      <c r="E47" s="603"/>
      <c r="F47" s="603"/>
      <c r="G47" s="603"/>
      <c r="H47" s="603"/>
    </row>
    <row r="48" spans="1:8" x14ac:dyDescent="0.35">
      <c r="A48" s="600" t="str">
        <f>A43</f>
        <v>Inkubaator</v>
      </c>
      <c r="B48" s="600">
        <v>10</v>
      </c>
      <c r="C48" s="617">
        <f>C35/B48</f>
        <v>89.692499999999995</v>
      </c>
      <c r="D48" s="603"/>
      <c r="E48" s="603"/>
      <c r="F48" s="603"/>
      <c r="G48" s="603"/>
      <c r="H48" s="603"/>
    </row>
    <row r="49" spans="1:8" x14ac:dyDescent="0.35">
      <c r="A49" s="600" t="s">
        <v>342</v>
      </c>
      <c r="B49" s="600"/>
      <c r="C49" s="617">
        <f>SUM(C47:C48)</f>
        <v>89.692499999999995</v>
      </c>
      <c r="D49" s="603"/>
      <c r="E49" s="603"/>
      <c r="F49" s="603"/>
      <c r="G49" s="603"/>
      <c r="H49" s="603"/>
    </row>
    <row r="50" spans="1:8" x14ac:dyDescent="0.35">
      <c r="E50" s="712"/>
    </row>
  </sheetData>
  <mergeCells count="8">
    <mergeCell ref="F23:F24"/>
    <mergeCell ref="G23:G24"/>
    <mergeCell ref="B31:B32"/>
    <mergeCell ref="C31:E31"/>
    <mergeCell ref="B23:B24"/>
    <mergeCell ref="C23:C24"/>
    <mergeCell ref="D23:D24"/>
    <mergeCell ref="E23:E24"/>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77"/>
  <sheetViews>
    <sheetView topLeftCell="A55" workbookViewId="0">
      <selection activeCell="B31" sqref="B31"/>
    </sheetView>
  </sheetViews>
  <sheetFormatPr defaultColWidth="9.1796875" defaultRowHeight="14.5" outlineLevelRow="1" outlineLevelCol="1" x14ac:dyDescent="0.35"/>
  <cols>
    <col min="1" max="1" width="32.81640625" style="711" customWidth="1"/>
    <col min="2" max="2" width="15.1796875" style="711" customWidth="1" outlineLevel="1"/>
    <col min="3" max="3" width="9.26953125" style="711" customWidth="1" outlineLevel="1"/>
    <col min="4" max="5" width="14.1796875" style="711" customWidth="1"/>
    <col min="6" max="6" width="14.81640625" style="711" hidden="1" customWidth="1" outlineLevel="1"/>
    <col min="7" max="7" width="17.453125" style="711" hidden="1" customWidth="1" outlineLevel="1"/>
    <col min="8" max="8" width="16.1796875" style="711" hidden="1" customWidth="1" outlineLevel="1"/>
    <col min="9" max="9" width="11.81640625" style="711" hidden="1" customWidth="1" outlineLevel="1"/>
    <col min="10" max="10" width="21.453125" style="711" hidden="1" customWidth="1" outlineLevel="1"/>
    <col min="11" max="11" width="17" style="711" hidden="1" customWidth="1" outlineLevel="1"/>
    <col min="12" max="12" width="9.1796875" style="711" collapsed="1"/>
    <col min="13" max="16384" width="9.1796875" style="711"/>
  </cols>
  <sheetData>
    <row r="1" spans="1:18" x14ac:dyDescent="0.35">
      <c r="A1" s="671" t="s">
        <v>9</v>
      </c>
      <c r="B1" s="603"/>
      <c r="C1" s="603"/>
      <c r="D1" s="655"/>
      <c r="E1" s="655"/>
      <c r="F1" s="497"/>
      <c r="G1" s="492">
        <f>'[2]5. Abikõlblik kulu'!D13</f>
        <v>0</v>
      </c>
      <c r="H1"/>
      <c r="I1"/>
      <c r="J1"/>
      <c r="K1"/>
      <c r="L1"/>
      <c r="M1"/>
      <c r="N1"/>
      <c r="O1"/>
      <c r="P1"/>
      <c r="Q1"/>
      <c r="R1"/>
    </row>
    <row r="2" spans="1:18" ht="43.5" x14ac:dyDescent="0.35">
      <c r="A2" s="600"/>
      <c r="B2" s="672"/>
      <c r="C2" s="606"/>
      <c r="D2" s="648" t="s">
        <v>476</v>
      </c>
      <c r="E2" s="648" t="s">
        <v>477</v>
      </c>
      <c r="F2" s="487" t="s">
        <v>285</v>
      </c>
      <c r="G2" s="487" t="s">
        <v>286</v>
      </c>
      <c r="H2"/>
      <c r="I2"/>
      <c r="J2"/>
      <c r="K2"/>
      <c r="L2"/>
      <c r="M2"/>
      <c r="N2"/>
      <c r="O2"/>
      <c r="P2"/>
      <c r="Q2"/>
      <c r="R2"/>
    </row>
    <row r="3" spans="1:18" x14ac:dyDescent="0.35">
      <c r="A3" s="673" t="s">
        <v>349</v>
      </c>
      <c r="B3" s="640"/>
      <c r="C3" s="674"/>
      <c r="D3" s="674"/>
      <c r="E3" s="674"/>
      <c r="F3" s="488"/>
      <c r="G3" s="488"/>
      <c r="H3"/>
      <c r="I3"/>
      <c r="J3"/>
      <c r="K3"/>
      <c r="L3"/>
      <c r="M3"/>
      <c r="N3"/>
      <c r="O3"/>
      <c r="P3"/>
      <c r="Q3"/>
      <c r="R3"/>
    </row>
    <row r="4" spans="1:18" x14ac:dyDescent="0.35">
      <c r="A4" s="640" t="s">
        <v>411</v>
      </c>
      <c r="B4" s="640"/>
      <c r="C4" s="674"/>
      <c r="D4" s="674">
        <f>E4/12</f>
        <v>694.62030183333343</v>
      </c>
      <c r="E4" s="674">
        <f>E20+E14+E5</f>
        <v>8335.4436220000007</v>
      </c>
      <c r="F4" s="505">
        <f t="shared" ref="F4:G4" si="0">F20+F14+F5</f>
        <v>6403.41822259523</v>
      </c>
      <c r="G4" s="505">
        <f t="shared" si="0"/>
        <v>1932.0253994047707</v>
      </c>
      <c r="H4" s="506">
        <f t="shared" ref="H4:H11" si="1">G4/$G$62</f>
        <v>1.4844870500080808E-2</v>
      </c>
      <c r="I4"/>
      <c r="J4"/>
      <c r="K4"/>
      <c r="L4"/>
      <c r="M4"/>
      <c r="N4"/>
      <c r="O4"/>
      <c r="P4"/>
      <c r="Q4"/>
      <c r="R4"/>
    </row>
    <row r="5" spans="1:18" x14ac:dyDescent="0.35">
      <c r="A5" s="639" t="s">
        <v>287</v>
      </c>
      <c r="B5" s="675" t="s">
        <v>548</v>
      </c>
      <c r="C5" s="674">
        <f>C6+C9</f>
        <v>75.228319999999997</v>
      </c>
      <c r="D5" s="676"/>
      <c r="E5" s="674">
        <f>E6+E9</f>
        <v>4722.8339296000004</v>
      </c>
      <c r="F5" s="507">
        <f>F6+F9</f>
        <v>3600.5336356196176</v>
      </c>
      <c r="G5" s="507">
        <f>E5-F5</f>
        <v>1122.3002939803828</v>
      </c>
      <c r="H5" s="506">
        <f t="shared" si="1"/>
        <v>8.6232833851326348E-3</v>
      </c>
      <c r="I5"/>
      <c r="J5"/>
      <c r="K5"/>
      <c r="L5"/>
      <c r="M5"/>
      <c r="N5"/>
      <c r="O5"/>
      <c r="P5"/>
      <c r="Q5"/>
      <c r="R5"/>
    </row>
    <row r="6" spans="1:18" outlineLevel="1" x14ac:dyDescent="0.35">
      <c r="A6" s="677" t="s">
        <v>431</v>
      </c>
      <c r="B6" s="675" t="s">
        <v>548</v>
      </c>
      <c r="C6" s="678">
        <f>SUM(C7:C8)</f>
        <v>0</v>
      </c>
      <c r="D6" s="676"/>
      <c r="E6" s="678">
        <f>SUM(E7:E8)</f>
        <v>0</v>
      </c>
      <c r="F6" s="508">
        <f>SUM(F7:F8)</f>
        <v>0</v>
      </c>
      <c r="G6" s="508">
        <f>E6-F6</f>
        <v>0</v>
      </c>
      <c r="H6" s="506">
        <f t="shared" si="1"/>
        <v>0</v>
      </c>
      <c r="I6"/>
      <c r="J6"/>
      <c r="K6"/>
      <c r="L6"/>
      <c r="M6"/>
      <c r="N6"/>
      <c r="O6"/>
      <c r="P6"/>
      <c r="Q6"/>
      <c r="R6"/>
    </row>
    <row r="7" spans="1:18" outlineLevel="1" x14ac:dyDescent="0.35">
      <c r="A7" s="679" t="s">
        <v>478</v>
      </c>
      <c r="B7" s="675" t="s">
        <v>548</v>
      </c>
      <c r="C7" s="720"/>
      <c r="D7" s="680"/>
      <c r="E7" s="678">
        <f>C7*Eeldused75!$C$4</f>
        <v>0</v>
      </c>
      <c r="F7" s="508">
        <f>E7</f>
        <v>0</v>
      </c>
      <c r="G7" s="508">
        <f>E7-F7</f>
        <v>0</v>
      </c>
      <c r="H7" s="506">
        <f t="shared" si="1"/>
        <v>0</v>
      </c>
      <c r="I7"/>
      <c r="J7"/>
      <c r="K7"/>
      <c r="L7"/>
      <c r="M7"/>
      <c r="N7"/>
      <c r="O7"/>
      <c r="P7"/>
      <c r="Q7"/>
      <c r="R7"/>
    </row>
    <row r="8" spans="1:18" outlineLevel="1" x14ac:dyDescent="0.35">
      <c r="A8" s="681" t="s">
        <v>479</v>
      </c>
      <c r="B8" s="675" t="s">
        <v>548</v>
      </c>
      <c r="C8" s="720"/>
      <c r="D8" s="680"/>
      <c r="E8" s="678">
        <f>C8*Eeldused75!$C$4</f>
        <v>0</v>
      </c>
      <c r="F8" s="508"/>
      <c r="G8" s="508">
        <f>E8-F8</f>
        <v>0</v>
      </c>
      <c r="H8" s="506">
        <f t="shared" si="1"/>
        <v>0</v>
      </c>
      <c r="I8"/>
      <c r="J8"/>
      <c r="K8"/>
      <c r="L8"/>
      <c r="M8"/>
      <c r="N8"/>
      <c r="O8"/>
      <c r="P8"/>
      <c r="Q8"/>
      <c r="R8"/>
    </row>
    <row r="9" spans="1:18" outlineLevel="1" x14ac:dyDescent="0.35">
      <c r="A9" s="677" t="s">
        <v>279</v>
      </c>
      <c r="B9" s="675" t="s">
        <v>548</v>
      </c>
      <c r="C9" s="678">
        <f>SUM(C10:C13)</f>
        <v>75.228319999999997</v>
      </c>
      <c r="D9" s="680"/>
      <c r="E9" s="678">
        <f>SUM(E10:E13)</f>
        <v>4722.8339296000004</v>
      </c>
      <c r="F9" s="508">
        <f>SUM(F10:F13)</f>
        <v>3600.5336356196176</v>
      </c>
      <c r="G9" s="508">
        <f>SUM(G10:G13)</f>
        <v>1122.3002939803825</v>
      </c>
      <c r="H9" s="506">
        <f t="shared" si="1"/>
        <v>8.6232833851326331E-3</v>
      </c>
      <c r="I9"/>
      <c r="J9"/>
      <c r="K9"/>
      <c r="L9"/>
      <c r="M9"/>
      <c r="N9"/>
      <c r="O9"/>
      <c r="P9"/>
      <c r="Q9"/>
      <c r="R9"/>
    </row>
    <row r="10" spans="1:18" outlineLevel="1" x14ac:dyDescent="0.35">
      <c r="A10" s="679" t="s">
        <v>478</v>
      </c>
      <c r="B10" s="675" t="s">
        <v>548</v>
      </c>
      <c r="C10" s="720">
        <f>Eeldused75!C14*(Eeldused75!C36*Ruumid!B36)/1000</f>
        <v>57.351602988525286</v>
      </c>
      <c r="D10" s="680"/>
      <c r="E10" s="678">
        <f>C10*Eeldused75!$C$4</f>
        <v>3600.5336356196176</v>
      </c>
      <c r="F10" s="508">
        <f>E10</f>
        <v>3600.5336356196176</v>
      </c>
      <c r="G10" s="508">
        <f>E10-F10</f>
        <v>0</v>
      </c>
      <c r="H10" s="506">
        <f t="shared" si="1"/>
        <v>0</v>
      </c>
      <c r="I10"/>
      <c r="J10"/>
      <c r="K10"/>
      <c r="L10"/>
      <c r="M10"/>
      <c r="N10"/>
      <c r="O10"/>
      <c r="P10"/>
      <c r="Q10"/>
      <c r="R10"/>
    </row>
    <row r="11" spans="1:18" ht="17.25" customHeight="1" outlineLevel="1" x14ac:dyDescent="0.35">
      <c r="A11" s="681" t="s">
        <v>479</v>
      </c>
      <c r="B11" s="675" t="s">
        <v>548</v>
      </c>
      <c r="C11" s="720">
        <f>Eeldused75!D14*(Eeldused75!D36*Ruumid!B36)/1000</f>
        <v>17.876717011474714</v>
      </c>
      <c r="D11" s="680"/>
      <c r="E11" s="678">
        <f>C11*Eeldused75!$C$4</f>
        <v>1122.3002939803825</v>
      </c>
      <c r="F11" s="508"/>
      <c r="G11" s="508">
        <f>E11</f>
        <v>1122.3002939803825</v>
      </c>
      <c r="H11" s="506">
        <f t="shared" si="1"/>
        <v>8.6232833851326331E-3</v>
      </c>
      <c r="I11"/>
      <c r="J11"/>
      <c r="K11"/>
      <c r="L11"/>
      <c r="M11"/>
      <c r="N11"/>
      <c r="O11"/>
      <c r="P11"/>
      <c r="Q11"/>
      <c r="R11"/>
    </row>
    <row r="12" spans="1:18" ht="14.25" customHeight="1" outlineLevel="1" x14ac:dyDescent="0.35">
      <c r="A12" s="679"/>
      <c r="B12" s="675"/>
      <c r="C12" s="678"/>
      <c r="D12" s="680"/>
      <c r="E12" s="678"/>
      <c r="F12" s="509"/>
      <c r="G12" s="510"/>
      <c r="H12" s="506"/>
      <c r="I12"/>
      <c r="J12"/>
      <c r="K12"/>
      <c r="L12"/>
      <c r="M12"/>
      <c r="N12"/>
      <c r="O12"/>
      <c r="P12"/>
      <c r="Q12"/>
      <c r="R12"/>
    </row>
    <row r="13" spans="1:18" outlineLevel="1" x14ac:dyDescent="0.35">
      <c r="A13" s="679"/>
      <c r="B13" s="675"/>
      <c r="C13" s="678"/>
      <c r="D13" s="680"/>
      <c r="E13" s="678"/>
      <c r="F13" s="509"/>
      <c r="G13" s="510"/>
      <c r="H13" s="506"/>
      <c r="I13"/>
      <c r="J13"/>
      <c r="K13"/>
      <c r="L13"/>
      <c r="M13"/>
      <c r="N13"/>
      <c r="O13"/>
      <c r="P13"/>
      <c r="Q13"/>
      <c r="R13"/>
    </row>
    <row r="14" spans="1:18" x14ac:dyDescent="0.35">
      <c r="A14" s="639" t="s">
        <v>288</v>
      </c>
      <c r="B14" s="675" t="s">
        <v>480</v>
      </c>
      <c r="C14" s="674">
        <f>C15+C17</f>
        <v>4436.1750000000002</v>
      </c>
      <c r="D14" s="676"/>
      <c r="E14" s="674">
        <f>E15+E17</f>
        <v>663.20816250000007</v>
      </c>
      <c r="F14" s="507">
        <f>F15+F17</f>
        <v>554.35762802486192</v>
      </c>
      <c r="G14" s="507">
        <f>G15+G17</f>
        <v>108.85053447513816</v>
      </c>
      <c r="H14" s="511">
        <f t="shared" ref="H14:H39" si="2">G14/$G$62</f>
        <v>8.3636172104457548E-4</v>
      </c>
      <c r="I14"/>
      <c r="J14"/>
      <c r="K14"/>
      <c r="L14"/>
      <c r="M14"/>
      <c r="N14"/>
      <c r="O14"/>
      <c r="P14"/>
      <c r="Q14"/>
      <c r="R14"/>
    </row>
    <row r="15" spans="1:18" hidden="1" outlineLevel="1" x14ac:dyDescent="0.35">
      <c r="A15" s="677" t="str">
        <f>A6</f>
        <v>Stuudio</v>
      </c>
      <c r="B15" s="675" t="s">
        <v>481</v>
      </c>
      <c r="C15" s="678">
        <f>C16</f>
        <v>0</v>
      </c>
      <c r="D15" s="680"/>
      <c r="E15" s="678">
        <f>E16</f>
        <v>0</v>
      </c>
      <c r="F15" s="508">
        <f>F16</f>
        <v>0</v>
      </c>
      <c r="G15" s="508">
        <f>G16</f>
        <v>0</v>
      </c>
      <c r="H15" s="511">
        <f t="shared" si="2"/>
        <v>0</v>
      </c>
      <c r="I15"/>
      <c r="J15"/>
      <c r="K15"/>
      <c r="L15"/>
      <c r="M15"/>
      <c r="N15"/>
      <c r="O15"/>
      <c r="P15"/>
      <c r="Q15"/>
      <c r="R15"/>
    </row>
    <row r="16" spans="1:18" hidden="1" outlineLevel="1" x14ac:dyDescent="0.35">
      <c r="A16" s="679" t="s">
        <v>478</v>
      </c>
      <c r="B16" s="675" t="s">
        <v>481</v>
      </c>
      <c r="C16" s="678">
        <f>Eeldused75!C16*Eeldused75!H42*(Eeldused75!C25*Eeldused75!C34)/1000</f>
        <v>0</v>
      </c>
      <c r="D16" s="680"/>
      <c r="E16" s="678">
        <f>C16*Eeldused75!C5</f>
        <v>0</v>
      </c>
      <c r="F16" s="508">
        <f>E16</f>
        <v>0</v>
      </c>
      <c r="G16" s="508"/>
      <c r="H16" s="511">
        <f t="shared" si="2"/>
        <v>0</v>
      </c>
      <c r="I16"/>
      <c r="J16"/>
      <c r="K16"/>
      <c r="L16"/>
      <c r="M16"/>
      <c r="N16"/>
      <c r="O16"/>
      <c r="P16"/>
      <c r="Q16"/>
      <c r="R16"/>
    </row>
    <row r="17" spans="1:18" hidden="1" outlineLevel="1" x14ac:dyDescent="0.35">
      <c r="A17" s="677" t="str">
        <f>A9</f>
        <v>Inkubaator</v>
      </c>
      <c r="B17" s="675" t="s">
        <v>481</v>
      </c>
      <c r="C17" s="678">
        <f>SUM(C18:C19)</f>
        <v>4436.1750000000002</v>
      </c>
      <c r="D17" s="680"/>
      <c r="E17" s="678">
        <f>SUM(E18:E19)</f>
        <v>663.20816250000007</v>
      </c>
      <c r="F17" s="508">
        <f>SUM(F18:F19)</f>
        <v>554.35762802486192</v>
      </c>
      <c r="G17" s="508">
        <f>SUM(G18:G19)</f>
        <v>108.85053447513816</v>
      </c>
      <c r="H17" s="511">
        <f t="shared" si="2"/>
        <v>8.3636172104457548E-4</v>
      </c>
      <c r="I17"/>
      <c r="J17"/>
      <c r="K17"/>
      <c r="L17"/>
      <c r="M17"/>
      <c r="N17"/>
      <c r="O17"/>
      <c r="P17"/>
      <c r="Q17"/>
      <c r="R17"/>
    </row>
    <row r="18" spans="1:18" hidden="1" outlineLevel="1" x14ac:dyDescent="0.35">
      <c r="A18" s="679" t="s">
        <v>478</v>
      </c>
      <c r="B18" s="675" t="s">
        <v>481</v>
      </c>
      <c r="C18" s="678">
        <f>Eeldused75!C17*Eeldused75!H43*(Eeldused75!C27*Eeldused75!C36)/1000</f>
        <v>3708.0777794305141</v>
      </c>
      <c r="D18" s="680"/>
      <c r="E18" s="678">
        <f>C18*Eeldused75!$C$5</f>
        <v>554.35762802486192</v>
      </c>
      <c r="F18" s="508">
        <f>E18</f>
        <v>554.35762802486192</v>
      </c>
      <c r="G18" s="508"/>
      <c r="H18" s="511">
        <f t="shared" si="2"/>
        <v>0</v>
      </c>
      <c r="I18"/>
      <c r="J18"/>
      <c r="K18"/>
      <c r="L18"/>
      <c r="M18"/>
      <c r="N18"/>
      <c r="O18"/>
      <c r="P18"/>
      <c r="Q18"/>
      <c r="R18"/>
    </row>
    <row r="19" spans="1:18" hidden="1" outlineLevel="1" x14ac:dyDescent="0.35">
      <c r="A19" s="681" t="s">
        <v>482</v>
      </c>
      <c r="B19" s="675" t="s">
        <v>481</v>
      </c>
      <c r="C19" s="678">
        <f>Eeldused75!C17*Eeldused75!H43*(Eeldused75!C27*Eeldused75!D36-Eeldused75!E27)/1000</f>
        <v>728.0972205694859</v>
      </c>
      <c r="D19" s="680"/>
      <c r="E19" s="678">
        <f>C19*Eeldused75!C5</f>
        <v>108.85053447513816</v>
      </c>
      <c r="F19" s="508"/>
      <c r="G19" s="508">
        <f>E19-F19</f>
        <v>108.85053447513816</v>
      </c>
      <c r="H19" s="511">
        <f t="shared" si="2"/>
        <v>8.3636172104457548E-4</v>
      </c>
      <c r="I19"/>
      <c r="J19"/>
      <c r="K19"/>
      <c r="L19"/>
      <c r="M19"/>
      <c r="N19"/>
      <c r="O19"/>
      <c r="P19"/>
      <c r="Q19"/>
      <c r="R19"/>
    </row>
    <row r="20" spans="1:18" collapsed="1" x14ac:dyDescent="0.35">
      <c r="A20" s="639" t="s">
        <v>398</v>
      </c>
      <c r="B20" s="640" t="s">
        <v>388</v>
      </c>
      <c r="C20" s="674">
        <f>SUM(C21:C22)</f>
        <v>1130.1255000000001</v>
      </c>
      <c r="D20" s="674"/>
      <c r="E20" s="674">
        <f>C20*Eeldused75!C8+C21*Eeldused75!C6+C22*Eeldused75!C20</f>
        <v>2949.4015299000002</v>
      </c>
      <c r="F20" s="494">
        <f>E20*Eeldused75!C38</f>
        <v>2248.5269589507502</v>
      </c>
      <c r="G20" s="495">
        <f>E20*Eeldused75!D38</f>
        <v>700.87457094924991</v>
      </c>
      <c r="H20" s="511">
        <f t="shared" si="2"/>
        <v>5.3852253939035985E-3</v>
      </c>
      <c r="I20"/>
      <c r="J20"/>
      <c r="K20"/>
      <c r="L20"/>
      <c r="M20"/>
      <c r="N20"/>
      <c r="O20"/>
      <c r="P20"/>
      <c r="Q20"/>
      <c r="R20"/>
    </row>
    <row r="21" spans="1:18" hidden="1" outlineLevel="1" x14ac:dyDescent="0.35">
      <c r="A21" s="679" t="s">
        <v>399</v>
      </c>
      <c r="B21" s="640" t="s">
        <v>388</v>
      </c>
      <c r="C21" s="674">
        <f>Eeldused75!C19*Eeldused75!C49*12</f>
        <v>678.07529999999997</v>
      </c>
      <c r="D21" s="674"/>
      <c r="E21" s="674"/>
      <c r="F21" s="493"/>
      <c r="G21" s="493"/>
      <c r="H21" s="511">
        <f t="shared" si="2"/>
        <v>0</v>
      </c>
      <c r="I21"/>
      <c r="J21"/>
      <c r="K21"/>
      <c r="L21"/>
      <c r="M21"/>
      <c r="N21"/>
      <c r="O21"/>
      <c r="P21"/>
      <c r="Q21"/>
      <c r="R21"/>
    </row>
    <row r="22" spans="1:18" hidden="1" outlineLevel="1" x14ac:dyDescent="0.35">
      <c r="A22" s="679" t="s">
        <v>400</v>
      </c>
      <c r="B22" s="640" t="s">
        <v>388</v>
      </c>
      <c r="C22" s="674">
        <f>Eeldused75!C20*Eeldused75!C49*12</f>
        <v>452.05020000000002</v>
      </c>
      <c r="D22" s="674"/>
      <c r="E22" s="674"/>
      <c r="F22" s="493"/>
      <c r="G22" s="493"/>
      <c r="H22" s="511">
        <f t="shared" si="2"/>
        <v>0</v>
      </c>
      <c r="I22"/>
      <c r="J22"/>
      <c r="K22"/>
      <c r="L22"/>
      <c r="M22"/>
      <c r="N22"/>
      <c r="O22"/>
      <c r="P22"/>
      <c r="Q22"/>
      <c r="R22"/>
    </row>
    <row r="23" spans="1:18" collapsed="1" x14ac:dyDescent="0.35">
      <c r="A23" s="639"/>
      <c r="B23" s="640"/>
      <c r="C23" s="674"/>
      <c r="D23" s="600"/>
      <c r="E23" s="674"/>
      <c r="F23" s="509"/>
      <c r="G23" s="510"/>
      <c r="H23" s="506">
        <f t="shared" si="2"/>
        <v>0</v>
      </c>
      <c r="I23"/>
      <c r="J23"/>
      <c r="K23"/>
      <c r="L23"/>
      <c r="M23"/>
      <c r="N23"/>
      <c r="O23"/>
      <c r="P23"/>
      <c r="Q23"/>
      <c r="R23"/>
    </row>
    <row r="24" spans="1:18" x14ac:dyDescent="0.35">
      <c r="A24" s="607"/>
      <c r="B24" s="675"/>
      <c r="C24" s="674"/>
      <c r="D24" s="600"/>
      <c r="E24" s="674"/>
      <c r="F24" s="512"/>
      <c r="G24" s="510"/>
      <c r="H24" s="506">
        <f t="shared" si="2"/>
        <v>0</v>
      </c>
      <c r="I24"/>
      <c r="J24"/>
      <c r="K24"/>
      <c r="L24"/>
      <c r="M24"/>
      <c r="N24"/>
      <c r="O24"/>
      <c r="P24"/>
      <c r="Q24"/>
      <c r="R24"/>
    </row>
    <row r="25" spans="1:18" ht="29.15" customHeight="1" x14ac:dyDescent="0.35">
      <c r="A25" s="640" t="s">
        <v>410</v>
      </c>
      <c r="B25" s="639"/>
      <c r="C25" s="676"/>
      <c r="D25" s="674">
        <f>SUM(D26:D28)</f>
        <v>5655.7260000000006</v>
      </c>
      <c r="E25" s="674">
        <f>SUM(E26:E28)</f>
        <v>67868.712</v>
      </c>
      <c r="F25" s="512">
        <f>SUM(F26:F28)</f>
        <v>0</v>
      </c>
      <c r="G25" s="496">
        <f>SUM(G26:G28)</f>
        <v>67868.712</v>
      </c>
      <c r="H25" s="506">
        <f t="shared" si="2"/>
        <v>0.52147463535297067</v>
      </c>
      <c r="I25"/>
      <c r="J25"/>
      <c r="L25"/>
      <c r="M25"/>
      <c r="N25"/>
      <c r="O25"/>
      <c r="P25"/>
      <c r="Q25"/>
      <c r="R25"/>
    </row>
    <row r="26" spans="1:18" ht="17.5" customHeight="1" outlineLevel="1" x14ac:dyDescent="0.35">
      <c r="A26" s="639" t="s">
        <v>396</v>
      </c>
      <c r="B26" s="682" t="s">
        <v>550</v>
      </c>
      <c r="C26" s="674">
        <v>2818</v>
      </c>
      <c r="D26" s="674">
        <f>C26*1.338*K26</f>
        <v>1885.2420000000002</v>
      </c>
      <c r="E26" s="674">
        <f>D26*12</f>
        <v>22622.904000000002</v>
      </c>
      <c r="F26" s="513"/>
      <c r="G26" s="496">
        <f>E26</f>
        <v>22622.904000000002</v>
      </c>
      <c r="H26" s="506">
        <f t="shared" si="2"/>
        <v>0.17382487845099023</v>
      </c>
      <c r="I26"/>
      <c r="J26" t="s">
        <v>495</v>
      </c>
      <c r="K26" s="697">
        <v>0.5</v>
      </c>
      <c r="L26"/>
      <c r="M26"/>
      <c r="N26"/>
      <c r="O26"/>
      <c r="P26"/>
      <c r="Q26"/>
      <c r="R26"/>
    </row>
    <row r="27" spans="1:18" ht="26.15" customHeight="1" outlineLevel="1" x14ac:dyDescent="0.35">
      <c r="A27" s="639" t="s">
        <v>397</v>
      </c>
      <c r="B27" s="682" t="s">
        <v>550</v>
      </c>
      <c r="C27" s="674">
        <v>2818</v>
      </c>
      <c r="D27" s="674">
        <f>C27*1.338*K27</f>
        <v>1885.2420000000002</v>
      </c>
      <c r="E27" s="674">
        <f>D27*12</f>
        <v>22622.904000000002</v>
      </c>
      <c r="F27" s="513"/>
      <c r="G27" s="496">
        <f>E27</f>
        <v>22622.904000000002</v>
      </c>
      <c r="H27" s="506">
        <f t="shared" si="2"/>
        <v>0.17382487845099023</v>
      </c>
      <c r="I27"/>
      <c r="J27"/>
      <c r="K27" s="697">
        <v>0.5</v>
      </c>
      <c r="L27"/>
      <c r="M27"/>
      <c r="N27"/>
      <c r="O27"/>
      <c r="P27"/>
      <c r="Q27"/>
      <c r="R27"/>
    </row>
    <row r="28" spans="1:18" ht="13.5" customHeight="1" outlineLevel="1" x14ac:dyDescent="0.35">
      <c r="A28" s="639" t="s">
        <v>505</v>
      </c>
      <c r="B28" s="682" t="s">
        <v>550</v>
      </c>
      <c r="C28" s="674">
        <v>2818</v>
      </c>
      <c r="D28" s="674">
        <f>C28*1.338*K28</f>
        <v>1885.2420000000002</v>
      </c>
      <c r="E28" s="674">
        <f>D28*12</f>
        <v>22622.904000000002</v>
      </c>
      <c r="F28" s="513"/>
      <c r="G28" s="496">
        <f>E28</f>
        <v>22622.904000000002</v>
      </c>
      <c r="H28" s="506">
        <f t="shared" si="2"/>
        <v>0.17382487845099023</v>
      </c>
      <c r="I28"/>
      <c r="J28"/>
      <c r="K28" s="697">
        <v>0.5</v>
      </c>
      <c r="L28"/>
      <c r="M28"/>
      <c r="N28"/>
      <c r="O28"/>
      <c r="P28"/>
      <c r="Q28"/>
      <c r="R28"/>
    </row>
    <row r="29" spans="1:18" x14ac:dyDescent="0.35">
      <c r="A29" s="640" t="s">
        <v>408</v>
      </c>
      <c r="B29" s="683"/>
      <c r="C29" s="684"/>
      <c r="D29" s="674">
        <f>E29/12</f>
        <v>450</v>
      </c>
      <c r="E29" s="684">
        <f>SUM(E30:E30)</f>
        <v>5400</v>
      </c>
      <c r="F29" s="512">
        <f>SUM(F30:F30)</f>
        <v>0</v>
      </c>
      <c r="G29" s="496">
        <f>SUM(G30:G30)</f>
        <v>5400</v>
      </c>
      <c r="H29" s="506">
        <f t="shared" si="2"/>
        <v>4.1491328594920759E-2</v>
      </c>
      <c r="I29"/>
      <c r="J29"/>
      <c r="K29"/>
      <c r="L29"/>
      <c r="M29"/>
      <c r="N29"/>
      <c r="O29"/>
      <c r="P29"/>
      <c r="Q29"/>
      <c r="R29"/>
    </row>
    <row r="30" spans="1:18" hidden="1" outlineLevel="1" x14ac:dyDescent="0.35">
      <c r="A30" s="639" t="s">
        <v>409</v>
      </c>
      <c r="B30" s="640"/>
      <c r="C30" s="674"/>
      <c r="D30" s="701">
        <v>450</v>
      </c>
      <c r="E30" s="674">
        <f>D30*12</f>
        <v>5400</v>
      </c>
      <c r="F30" s="513"/>
      <c r="G30" s="512">
        <f>E30</f>
        <v>5400</v>
      </c>
      <c r="H30" s="506">
        <f t="shared" si="2"/>
        <v>4.1491328594920759E-2</v>
      </c>
      <c r="I30"/>
      <c r="J30"/>
      <c r="K30"/>
      <c r="L30"/>
      <c r="M30"/>
      <c r="N30"/>
      <c r="O30"/>
      <c r="P30"/>
      <c r="Q30"/>
      <c r="R30"/>
    </row>
    <row r="31" spans="1:18" collapsed="1" x14ac:dyDescent="0.35">
      <c r="A31" s="640" t="s">
        <v>401</v>
      </c>
      <c r="B31" s="640"/>
      <c r="C31" s="674"/>
      <c r="D31" s="674">
        <f>E31/12</f>
        <v>700</v>
      </c>
      <c r="E31" s="674">
        <f>E32+E33</f>
        <v>8400</v>
      </c>
      <c r="F31" s="512">
        <f>SUM(F32:F33)</f>
        <v>0</v>
      </c>
      <c r="G31" s="512">
        <f>SUM(G32:G33)</f>
        <v>8400</v>
      </c>
      <c r="H31" s="506">
        <f t="shared" si="2"/>
        <v>6.4542066703210069E-2</v>
      </c>
      <c r="I31"/>
      <c r="J31"/>
      <c r="K31"/>
      <c r="L31"/>
      <c r="M31"/>
      <c r="N31"/>
      <c r="O31"/>
      <c r="P31"/>
      <c r="Q31"/>
      <c r="R31"/>
    </row>
    <row r="32" spans="1:18" ht="22" hidden="1" outlineLevel="1" x14ac:dyDescent="0.35">
      <c r="A32" s="639" t="s">
        <v>289</v>
      </c>
      <c r="B32" s="682" t="s">
        <v>290</v>
      </c>
      <c r="C32" s="674"/>
      <c r="D32" s="701">
        <v>500</v>
      </c>
      <c r="E32" s="674">
        <f>D32*12</f>
        <v>6000</v>
      </c>
      <c r="F32" s="513"/>
      <c r="G32" s="512">
        <f>E32</f>
        <v>6000</v>
      </c>
      <c r="H32" s="506">
        <f t="shared" si="2"/>
        <v>4.6101476216578618E-2</v>
      </c>
      <c r="I32"/>
      <c r="J32"/>
      <c r="K32"/>
      <c r="L32"/>
      <c r="M32"/>
      <c r="N32"/>
      <c r="O32"/>
      <c r="P32"/>
      <c r="Q32"/>
      <c r="R32"/>
    </row>
    <row r="33" spans="1:18" ht="29" hidden="1" outlineLevel="1" x14ac:dyDescent="0.35">
      <c r="A33" s="639" t="s">
        <v>291</v>
      </c>
      <c r="B33" s="640"/>
      <c r="C33" s="674"/>
      <c r="D33" s="701">
        <v>200</v>
      </c>
      <c r="E33" s="674">
        <f>D33*12</f>
        <v>2400</v>
      </c>
      <c r="F33" s="513"/>
      <c r="G33" s="512">
        <f>E33</f>
        <v>2400</v>
      </c>
      <c r="H33" s="506">
        <f t="shared" si="2"/>
        <v>1.8440590486631447E-2</v>
      </c>
      <c r="I33"/>
      <c r="J33"/>
      <c r="K33"/>
      <c r="L33"/>
      <c r="M33"/>
      <c r="N33"/>
      <c r="O33"/>
      <c r="P33"/>
      <c r="Q33"/>
      <c r="R33"/>
    </row>
    <row r="34" spans="1:18" hidden="1" collapsed="1" x14ac:dyDescent="0.35">
      <c r="A34" s="639"/>
      <c r="B34" s="640"/>
      <c r="C34" s="674"/>
      <c r="D34" s="674"/>
      <c r="E34" s="674"/>
      <c r="F34" s="513"/>
      <c r="G34" s="512"/>
      <c r="H34" s="506">
        <f t="shared" si="2"/>
        <v>0</v>
      </c>
      <c r="I34"/>
      <c r="J34"/>
      <c r="K34"/>
      <c r="L34"/>
      <c r="M34"/>
      <c r="N34"/>
      <c r="O34"/>
      <c r="P34"/>
      <c r="Q34"/>
      <c r="R34"/>
    </row>
    <row r="35" spans="1:18" hidden="1" x14ac:dyDescent="0.35">
      <c r="A35" s="639"/>
      <c r="B35" s="640"/>
      <c r="C35" s="674"/>
      <c r="D35" s="674"/>
      <c r="E35" s="674"/>
      <c r="F35" s="513"/>
      <c r="G35" s="512"/>
      <c r="H35" s="506">
        <f t="shared" si="2"/>
        <v>0</v>
      </c>
      <c r="I35"/>
      <c r="J35"/>
      <c r="K35"/>
      <c r="L35"/>
      <c r="M35"/>
      <c r="N35"/>
      <c r="O35"/>
      <c r="P35"/>
      <c r="Q35"/>
      <c r="R35"/>
    </row>
    <row r="36" spans="1:18" x14ac:dyDescent="0.35">
      <c r="A36" s="640" t="s">
        <v>402</v>
      </c>
      <c r="B36" s="640"/>
      <c r="C36" s="674"/>
      <c r="D36" s="674">
        <f>E36/12</f>
        <v>3000</v>
      </c>
      <c r="E36" s="674">
        <f>SUM(E37:E42)</f>
        <v>36000</v>
      </c>
      <c r="F36" s="513">
        <f t="shared" ref="F36:G36" si="3">SUM(F37:F42)</f>
        <v>0</v>
      </c>
      <c r="G36" s="512">
        <f t="shared" si="3"/>
        <v>36000</v>
      </c>
      <c r="H36" s="506">
        <f t="shared" si="2"/>
        <v>0.27660885729947171</v>
      </c>
      <c r="I36"/>
      <c r="J36"/>
      <c r="K36"/>
      <c r="L36"/>
      <c r="M36"/>
      <c r="N36"/>
      <c r="O36"/>
      <c r="P36"/>
      <c r="Q36"/>
      <c r="R36"/>
    </row>
    <row r="37" spans="1:18" ht="29" hidden="1" x14ac:dyDescent="0.35">
      <c r="A37" s="639" t="s">
        <v>292</v>
      </c>
      <c r="B37" s="640"/>
      <c r="C37" s="674"/>
      <c r="D37" s="674"/>
      <c r="E37" s="674">
        <v>36000</v>
      </c>
      <c r="F37" s="513"/>
      <c r="G37" s="512">
        <f>E37</f>
        <v>36000</v>
      </c>
      <c r="H37" s="506">
        <f t="shared" si="2"/>
        <v>0.27660885729947171</v>
      </c>
      <c r="I37"/>
      <c r="J37"/>
      <c r="K37"/>
      <c r="L37"/>
      <c r="M37"/>
      <c r="N37"/>
      <c r="O37"/>
      <c r="P37"/>
      <c r="Q37"/>
      <c r="R37"/>
    </row>
    <row r="38" spans="1:18" hidden="1" x14ac:dyDescent="0.35">
      <c r="A38" s="639"/>
      <c r="B38" s="640"/>
      <c r="C38" s="674"/>
      <c r="D38" s="674"/>
      <c r="E38" s="674"/>
      <c r="F38" s="513"/>
      <c r="G38" s="512"/>
      <c r="H38" s="506">
        <f t="shared" si="2"/>
        <v>0</v>
      </c>
      <c r="I38"/>
      <c r="J38"/>
      <c r="K38"/>
      <c r="L38"/>
      <c r="M38"/>
      <c r="N38"/>
      <c r="O38"/>
      <c r="P38"/>
      <c r="Q38"/>
      <c r="R38"/>
    </row>
    <row r="39" spans="1:18" hidden="1" x14ac:dyDescent="0.35">
      <c r="A39" s="639"/>
      <c r="B39" s="640"/>
      <c r="C39" s="674"/>
      <c r="D39" s="674"/>
      <c r="E39" s="674"/>
      <c r="F39" s="513"/>
      <c r="G39" s="512"/>
      <c r="H39" s="506">
        <f t="shared" si="2"/>
        <v>0</v>
      </c>
      <c r="I39"/>
      <c r="J39"/>
      <c r="K39"/>
      <c r="L39"/>
      <c r="M39"/>
      <c r="N39"/>
      <c r="O39"/>
      <c r="P39"/>
      <c r="Q39"/>
      <c r="R39"/>
    </row>
    <row r="40" spans="1:18" hidden="1" x14ac:dyDescent="0.35">
      <c r="A40" s="639"/>
      <c r="B40" s="640"/>
      <c r="C40" s="674"/>
      <c r="D40" s="674"/>
      <c r="E40" s="674"/>
      <c r="F40" s="513"/>
      <c r="G40" s="512"/>
      <c r="H40" s="506"/>
      <c r="I40"/>
      <c r="J40"/>
      <c r="K40"/>
      <c r="L40"/>
      <c r="M40"/>
      <c r="N40"/>
      <c r="O40"/>
      <c r="P40"/>
      <c r="Q40"/>
      <c r="R40"/>
    </row>
    <row r="41" spans="1:18" hidden="1" x14ac:dyDescent="0.35">
      <c r="A41" s="639"/>
      <c r="B41" s="640"/>
      <c r="C41" s="674"/>
      <c r="D41" s="674"/>
      <c r="E41" s="674"/>
      <c r="F41" s="513"/>
      <c r="G41" s="512"/>
      <c r="H41" s="506"/>
      <c r="I41"/>
      <c r="J41"/>
      <c r="K41"/>
      <c r="L41"/>
      <c r="M41"/>
      <c r="N41"/>
      <c r="O41"/>
      <c r="P41"/>
      <c r="Q41"/>
      <c r="R41"/>
    </row>
    <row r="42" spans="1:18" hidden="1" x14ac:dyDescent="0.35">
      <c r="A42" s="639"/>
      <c r="B42" s="640"/>
      <c r="C42" s="674"/>
      <c r="D42" s="674"/>
      <c r="E42" s="674"/>
      <c r="F42" s="513"/>
      <c r="G42" s="512"/>
      <c r="H42" s="506"/>
      <c r="I42"/>
      <c r="J42"/>
      <c r="K42"/>
      <c r="L42"/>
      <c r="M42"/>
      <c r="N42"/>
      <c r="O42"/>
      <c r="P42"/>
      <c r="Q42"/>
      <c r="R42"/>
    </row>
    <row r="43" spans="1:18" x14ac:dyDescent="0.35">
      <c r="A43" s="640" t="s">
        <v>465</v>
      </c>
      <c r="B43" s="640"/>
      <c r="C43" s="674"/>
      <c r="D43" s="674">
        <f>E43/12</f>
        <v>760</v>
      </c>
      <c r="E43" s="674">
        <f>SUM(E44:E47)</f>
        <v>9120</v>
      </c>
      <c r="F43" s="514">
        <f>SUM(F44:F47)</f>
        <v>6952.7887802804926</v>
      </c>
      <c r="G43" s="512">
        <f>SUM(G44:G47)</f>
        <v>2167.211219719507</v>
      </c>
      <c r="H43" s="506"/>
      <c r="I43"/>
      <c r="J43"/>
      <c r="K43"/>
      <c r="L43"/>
      <c r="M43"/>
      <c r="N43"/>
      <c r="O43"/>
      <c r="P43"/>
      <c r="Q43"/>
      <c r="R43"/>
    </row>
    <row r="44" spans="1:18" ht="32.5" hidden="1" outlineLevel="1" x14ac:dyDescent="0.35">
      <c r="A44" s="639" t="s">
        <v>293</v>
      </c>
      <c r="B44" s="682" t="s">
        <v>496</v>
      </c>
      <c r="C44" s="674"/>
      <c r="D44" s="674">
        <f>ROUND(8*8*10+700/12,-1)*1</f>
        <v>700</v>
      </c>
      <c r="E44" s="674">
        <f>D44*12</f>
        <v>8400</v>
      </c>
      <c r="F44" s="509">
        <f>E44*Eeldused75!$C$38</f>
        <v>6403.8844028899275</v>
      </c>
      <c r="G44" s="509">
        <f>E44*Eeldused75!$D$38</f>
        <v>1996.1155971100723</v>
      </c>
      <c r="H44" s="506">
        <f>G44/$G$62</f>
        <v>1.5337312620951938E-2</v>
      </c>
      <c r="I44"/>
      <c r="J44"/>
      <c r="K44"/>
      <c r="L44"/>
      <c r="M44"/>
      <c r="N44"/>
      <c r="O44"/>
      <c r="P44"/>
      <c r="Q44"/>
      <c r="R44"/>
    </row>
    <row r="45" spans="1:18" hidden="1" outlineLevel="1" x14ac:dyDescent="0.35">
      <c r="A45" s="639" t="s">
        <v>294</v>
      </c>
      <c r="B45" s="640"/>
      <c r="C45" s="674"/>
      <c r="D45" s="600">
        <v>60</v>
      </c>
      <c r="E45" s="674">
        <f>D45*12</f>
        <v>720</v>
      </c>
      <c r="F45" s="509">
        <f>E45*Eeldused75!$C$38</f>
        <v>548.90437739056517</v>
      </c>
      <c r="G45" s="509">
        <f>E45*Eeldused75!$D$38</f>
        <v>171.09562260943477</v>
      </c>
      <c r="H45" s="506">
        <f>G45/$G$62</f>
        <v>1.3146267960815947E-3</v>
      </c>
      <c r="I45"/>
      <c r="J45"/>
      <c r="K45"/>
      <c r="L45"/>
      <c r="M45"/>
      <c r="N45"/>
      <c r="O45"/>
      <c r="P45"/>
      <c r="Q45"/>
      <c r="R45"/>
    </row>
    <row r="46" spans="1:18" hidden="1" outlineLevel="1" x14ac:dyDescent="0.35">
      <c r="A46" s="639" t="s">
        <v>295</v>
      </c>
      <c r="B46" s="640"/>
      <c r="C46" s="674"/>
      <c r="D46" s="674"/>
      <c r="E46" s="674"/>
      <c r="F46" s="513"/>
      <c r="G46" s="512"/>
      <c r="H46" s="506"/>
      <c r="I46"/>
      <c r="J46"/>
      <c r="K46"/>
      <c r="L46"/>
      <c r="M46"/>
      <c r="N46"/>
      <c r="O46"/>
      <c r="P46"/>
      <c r="Q46"/>
      <c r="R46"/>
    </row>
    <row r="47" spans="1:18" hidden="1" collapsed="1" x14ac:dyDescent="0.35">
      <c r="A47" s="639"/>
      <c r="B47" s="640"/>
      <c r="C47" s="674"/>
      <c r="D47" s="674"/>
      <c r="E47" s="674"/>
      <c r="F47" s="513"/>
      <c r="G47" s="512"/>
      <c r="H47" s="506"/>
      <c r="I47"/>
      <c r="J47"/>
      <c r="K47"/>
      <c r="L47"/>
      <c r="M47"/>
      <c r="N47"/>
      <c r="O47"/>
      <c r="P47"/>
      <c r="Q47"/>
      <c r="R47"/>
    </row>
    <row r="48" spans="1:18" ht="18" customHeight="1" x14ac:dyDescent="0.35">
      <c r="A48" s="640" t="s">
        <v>403</v>
      </c>
      <c r="B48" s="640"/>
      <c r="C48" s="674"/>
      <c r="D48" s="674">
        <f>E48/12</f>
        <v>538.91666666666663</v>
      </c>
      <c r="E48" s="674">
        <f>SUM(E49:E53)</f>
        <v>6467</v>
      </c>
      <c r="F48" s="514">
        <f>SUM(F49:F53)</f>
        <v>4930.2286230344234</v>
      </c>
      <c r="G48" s="512">
        <f>SUM(G49:G53)</f>
        <v>1536.7713769655759</v>
      </c>
      <c r="H48" s="506">
        <f>G48/$G$62</f>
        <v>1.1807904847582878E-2</v>
      </c>
      <c r="I48"/>
      <c r="J48"/>
      <c r="K48"/>
      <c r="L48"/>
      <c r="M48"/>
      <c r="N48"/>
      <c r="O48"/>
      <c r="P48"/>
      <c r="Q48"/>
      <c r="R48"/>
    </row>
    <row r="49" spans="1:18" ht="22" hidden="1" outlineLevel="1" x14ac:dyDescent="0.35">
      <c r="A49" s="639" t="s">
        <v>296</v>
      </c>
      <c r="B49" s="682" t="s">
        <v>498</v>
      </c>
      <c r="C49" s="674"/>
      <c r="D49" s="674">
        <f>E49/12</f>
        <v>47.25</v>
      </c>
      <c r="E49" s="674">
        <f>13.5*6*7</f>
        <v>567</v>
      </c>
      <c r="F49" s="509">
        <f>E49*Eeldused75!$C$38</f>
        <v>432.26219719507009</v>
      </c>
      <c r="G49" s="509">
        <f>E49*Eeldused75!$D$38</f>
        <v>134.73780280492988</v>
      </c>
      <c r="H49" s="506">
        <f>G49/$G$62</f>
        <v>1.0352686019142558E-3</v>
      </c>
      <c r="I49"/>
      <c r="J49"/>
      <c r="K49"/>
      <c r="L49"/>
      <c r="M49"/>
      <c r="N49"/>
      <c r="O49"/>
      <c r="P49"/>
      <c r="Q49"/>
      <c r="R49"/>
    </row>
    <row r="50" spans="1:18" ht="22" hidden="1" outlineLevel="1" x14ac:dyDescent="0.35">
      <c r="A50" s="639" t="s">
        <v>297</v>
      </c>
      <c r="B50" s="682" t="s">
        <v>497</v>
      </c>
      <c r="C50" s="674">
        <v>300</v>
      </c>
      <c r="D50" s="674">
        <f>E50/12</f>
        <v>75</v>
      </c>
      <c r="E50" s="674">
        <f>C50*3</f>
        <v>900</v>
      </c>
      <c r="F50" s="509">
        <f>E50*Eeldused75!$C$38</f>
        <v>686.13047173820644</v>
      </c>
      <c r="G50" s="509">
        <f>E50*Eeldused75!$D$38</f>
        <v>213.86952826179345</v>
      </c>
      <c r="H50" s="506">
        <f>G50/$G$62</f>
        <v>1.6432834951019932E-3</v>
      </c>
      <c r="I50"/>
      <c r="J50"/>
      <c r="K50"/>
      <c r="L50"/>
      <c r="M50"/>
      <c r="N50"/>
      <c r="O50"/>
      <c r="P50"/>
      <c r="Q50"/>
      <c r="R50"/>
    </row>
    <row r="51" spans="1:18" hidden="1" outlineLevel="1" x14ac:dyDescent="0.35">
      <c r="A51" s="639" t="s">
        <v>298</v>
      </c>
      <c r="B51" s="640"/>
      <c r="C51" s="674"/>
      <c r="D51" s="674">
        <f>E51/12</f>
        <v>83.333333333333329</v>
      </c>
      <c r="E51" s="674">
        <v>1000</v>
      </c>
      <c r="F51" s="509">
        <f>E51*Eeldused75!$C$38</f>
        <v>762.36719082022944</v>
      </c>
      <c r="G51" s="509">
        <f>E51*Eeldused75!$D$38</f>
        <v>237.6328091797705</v>
      </c>
      <c r="H51" s="506">
        <f>G51/$G$62</f>
        <v>1.8258705501133258E-3</v>
      </c>
      <c r="I51"/>
      <c r="J51"/>
      <c r="K51" s="492"/>
      <c r="L51"/>
      <c r="M51"/>
      <c r="N51"/>
      <c r="O51"/>
      <c r="P51"/>
      <c r="Q51"/>
      <c r="R51"/>
    </row>
    <row r="52" spans="1:18" hidden="1" outlineLevel="1" x14ac:dyDescent="0.35">
      <c r="A52" s="639" t="s">
        <v>299</v>
      </c>
      <c r="B52" s="640"/>
      <c r="C52" s="674"/>
      <c r="D52" s="674">
        <f>E52/12</f>
        <v>333.33333333333331</v>
      </c>
      <c r="E52" s="674">
        <f>2000*2</f>
        <v>4000</v>
      </c>
      <c r="F52" s="509">
        <f>E52*Eeldused75!$C$38</f>
        <v>3049.4687632809178</v>
      </c>
      <c r="G52" s="509">
        <f>E52*Eeldused75!$D$38</f>
        <v>950.53123671908202</v>
      </c>
      <c r="H52" s="506">
        <f>G52/$G$62</f>
        <v>7.3034822004533033E-3</v>
      </c>
      <c r="I52"/>
      <c r="J52"/>
      <c r="K52"/>
      <c r="L52"/>
      <c r="M52"/>
      <c r="N52"/>
      <c r="O52"/>
      <c r="P52"/>
      <c r="Q52"/>
      <c r="R52"/>
    </row>
    <row r="53" spans="1:18" hidden="1" outlineLevel="1" x14ac:dyDescent="0.35">
      <c r="A53" s="639"/>
      <c r="B53" s="640"/>
      <c r="C53" s="674"/>
      <c r="D53" s="674"/>
      <c r="E53" s="674"/>
      <c r="F53" s="509"/>
      <c r="G53" s="509"/>
      <c r="H53" s="506"/>
      <c r="I53"/>
      <c r="J53"/>
      <c r="K53"/>
      <c r="L53"/>
      <c r="M53"/>
      <c r="N53"/>
      <c r="O53"/>
      <c r="P53"/>
      <c r="Q53"/>
      <c r="R53"/>
    </row>
    <row r="54" spans="1:18" collapsed="1" x14ac:dyDescent="0.35">
      <c r="A54" s="640" t="s">
        <v>404</v>
      </c>
      <c r="B54" s="640"/>
      <c r="C54" s="674"/>
      <c r="D54" s="674">
        <v>400</v>
      </c>
      <c r="E54" s="674">
        <f>D54*12</f>
        <v>4800</v>
      </c>
      <c r="F54" s="509">
        <f>E54*Eeldused75!$C$38</f>
        <v>3659.3625159371013</v>
      </c>
      <c r="G54" s="509">
        <f>E54*Eeldused75!$D$38</f>
        <v>1140.6374840628985</v>
      </c>
      <c r="H54" s="506">
        <f t="shared" ref="H54:H59" si="4">G54/$G$62</f>
        <v>8.7641786405439643E-3</v>
      </c>
      <c r="I54"/>
      <c r="J54"/>
      <c r="K54"/>
      <c r="L54"/>
      <c r="M54"/>
      <c r="N54"/>
      <c r="O54"/>
      <c r="P54"/>
      <c r="Q54"/>
      <c r="R54"/>
    </row>
    <row r="55" spans="1:18" ht="30.75" customHeight="1" x14ac:dyDescent="0.35">
      <c r="A55" s="640" t="s">
        <v>405</v>
      </c>
      <c r="B55" s="640" t="s">
        <v>483</v>
      </c>
      <c r="C55" s="685">
        <v>1E-3</v>
      </c>
      <c r="D55" s="674">
        <f>E55/12</f>
        <v>272.66666666666669</v>
      </c>
      <c r="E55" s="674">
        <f>C55*'1. Projekti elluviimise kulud'!J19</f>
        <v>3272</v>
      </c>
      <c r="F55" s="513"/>
      <c r="G55" s="512">
        <f>E55</f>
        <v>3272</v>
      </c>
      <c r="H55" s="506">
        <f t="shared" si="4"/>
        <v>2.5140671696774208E-2</v>
      </c>
      <c r="I55"/>
      <c r="J55"/>
      <c r="K55"/>
      <c r="L55"/>
      <c r="M55"/>
      <c r="N55"/>
      <c r="O55"/>
      <c r="P55"/>
      <c r="Q55"/>
      <c r="R55"/>
    </row>
    <row r="56" spans="1:18" x14ac:dyDescent="0.35">
      <c r="A56" s="640" t="s">
        <v>406</v>
      </c>
      <c r="B56" s="640"/>
      <c r="C56" s="674"/>
      <c r="D56" s="674">
        <f>E56/12</f>
        <v>355</v>
      </c>
      <c r="E56" s="674">
        <f>SUM(E57:E61)</f>
        <v>4260</v>
      </c>
      <c r="F56" s="515">
        <f>SUM(F57:F61)</f>
        <v>1829.6812579685507</v>
      </c>
      <c r="G56" s="512">
        <f>SUM(G57:G61)</f>
        <v>2430.3187420314493</v>
      </c>
      <c r="H56" s="506">
        <f t="shared" si="4"/>
        <v>1.8673546947411357E-2</v>
      </c>
      <c r="I56"/>
      <c r="J56"/>
      <c r="K56"/>
      <c r="L56"/>
      <c r="M56"/>
      <c r="N56"/>
      <c r="O56"/>
      <c r="P56"/>
      <c r="Q56"/>
      <c r="R56"/>
    </row>
    <row r="57" spans="1:18" ht="29" hidden="1" outlineLevel="1" x14ac:dyDescent="0.35">
      <c r="A57" s="639" t="s">
        <v>300</v>
      </c>
      <c r="B57" s="640"/>
      <c r="C57" s="674"/>
      <c r="D57" s="674">
        <v>55</v>
      </c>
      <c r="E57" s="674">
        <f>D57*12</f>
        <v>660</v>
      </c>
      <c r="F57" s="513"/>
      <c r="G57" s="512">
        <f>E57</f>
        <v>660</v>
      </c>
      <c r="H57" s="506">
        <f t="shared" si="4"/>
        <v>5.0711623838236479E-3</v>
      </c>
      <c r="I57"/>
      <c r="J57"/>
      <c r="K57"/>
      <c r="L57"/>
      <c r="M57"/>
      <c r="N57"/>
      <c r="O57"/>
      <c r="P57"/>
      <c r="Q57"/>
      <c r="R57"/>
    </row>
    <row r="58" spans="1:18" hidden="1" outlineLevel="1" x14ac:dyDescent="0.35">
      <c r="A58" s="639" t="s">
        <v>301</v>
      </c>
      <c r="B58" s="640"/>
      <c r="C58" s="674"/>
      <c r="D58" s="674">
        <v>200</v>
      </c>
      <c r="E58" s="674">
        <f>D58*12</f>
        <v>2400</v>
      </c>
      <c r="F58" s="509">
        <f>E58*Eeldused75!$C$38</f>
        <v>1829.6812579685507</v>
      </c>
      <c r="G58" s="509">
        <f>E58*Eeldused75!$D$38</f>
        <v>570.31874203144923</v>
      </c>
      <c r="H58" s="506">
        <f t="shared" si="4"/>
        <v>4.3820893202719821E-3</v>
      </c>
      <c r="I58"/>
      <c r="J58"/>
      <c r="K58"/>
      <c r="L58"/>
      <c r="M58"/>
      <c r="N58"/>
      <c r="O58"/>
      <c r="P58"/>
      <c r="Q58"/>
      <c r="R58"/>
    </row>
    <row r="59" spans="1:18" hidden="1" outlineLevel="1" x14ac:dyDescent="0.35">
      <c r="A59" s="639" t="s">
        <v>284</v>
      </c>
      <c r="B59" s="640"/>
      <c r="C59" s="674"/>
      <c r="D59" s="674">
        <v>100</v>
      </c>
      <c r="E59" s="674">
        <f>D59*12</f>
        <v>1200</v>
      </c>
      <c r="F59" s="509"/>
      <c r="G59" s="510">
        <f>E59</f>
        <v>1200</v>
      </c>
      <c r="H59" s="506">
        <f t="shared" si="4"/>
        <v>9.2202952433157234E-3</v>
      </c>
      <c r="I59"/>
      <c r="J59"/>
      <c r="K59"/>
      <c r="L59"/>
      <c r="M59"/>
      <c r="N59"/>
      <c r="O59"/>
      <c r="P59"/>
      <c r="Q59"/>
      <c r="R59"/>
    </row>
    <row r="60" spans="1:18" hidden="1" outlineLevel="1" x14ac:dyDescent="0.35">
      <c r="A60" s="639"/>
      <c r="B60" s="640"/>
      <c r="C60" s="674"/>
      <c r="D60" s="674"/>
      <c r="E60" s="674"/>
      <c r="F60" s="510"/>
      <c r="G60" s="510"/>
      <c r="H60" s="490">
        <f>G60/$G$71</f>
        <v>0</v>
      </c>
      <c r="I60"/>
      <c r="J60"/>
      <c r="K60"/>
      <c r="L60"/>
      <c r="M60"/>
      <c r="N60"/>
      <c r="O60"/>
      <c r="P60"/>
      <c r="Q60"/>
      <c r="R60"/>
    </row>
    <row r="61" spans="1:18" collapsed="1" x14ac:dyDescent="0.35">
      <c r="A61" s="639"/>
      <c r="B61" s="640"/>
      <c r="C61" s="674"/>
      <c r="D61" s="674"/>
      <c r="E61" s="674"/>
      <c r="F61" s="510"/>
      <c r="G61" s="510"/>
      <c r="H61" s="490"/>
      <c r="I61"/>
      <c r="J61"/>
      <c r="K61"/>
      <c r="L61"/>
      <c r="M61"/>
      <c r="N61"/>
      <c r="O61"/>
      <c r="P61"/>
      <c r="Q61"/>
      <c r="R61"/>
    </row>
    <row r="62" spans="1:18" x14ac:dyDescent="0.35">
      <c r="A62" s="686" t="s">
        <v>350</v>
      </c>
      <c r="B62" s="640"/>
      <c r="C62" s="674"/>
      <c r="D62" s="687">
        <f>E62/12</f>
        <v>12826.929635166665</v>
      </c>
      <c r="E62" s="687">
        <f>E4+E25+E29+E31+E56+E36+E43+E48+E54+E55</f>
        <v>153923.15562199999</v>
      </c>
      <c r="F62" s="516">
        <f>F4+F25+F29+F31+F56+F36+F43+F48+F54+F55</f>
        <v>23775.479399815798</v>
      </c>
      <c r="G62" s="516">
        <f>G4+G25+G29+G31+G56+G36+G43+G48+G54+G55</f>
        <v>130147.67622218421</v>
      </c>
      <c r="H62" s="506"/>
      <c r="I62"/>
      <c r="J62"/>
      <c r="K62" s="497"/>
      <c r="L62"/>
      <c r="M62"/>
      <c r="N62"/>
      <c r="O62"/>
      <c r="P62"/>
      <c r="Q62"/>
      <c r="R62"/>
    </row>
    <row r="63" spans="1:18" x14ac:dyDescent="0.35">
      <c r="A63" s="686"/>
      <c r="B63" s="640"/>
      <c r="C63" s="674"/>
      <c r="D63" s="674"/>
      <c r="E63" s="687"/>
      <c r="F63" s="510"/>
      <c r="G63" s="510"/>
      <c r="H63" s="506"/>
      <c r="I63"/>
      <c r="J63"/>
      <c r="K63"/>
      <c r="L63"/>
      <c r="M63"/>
      <c r="N63"/>
      <c r="O63"/>
      <c r="P63"/>
      <c r="Q63"/>
      <c r="R63"/>
    </row>
    <row r="64" spans="1:18" x14ac:dyDescent="0.35">
      <c r="A64" s="673" t="s">
        <v>407</v>
      </c>
      <c r="B64" s="640"/>
      <c r="C64" s="674"/>
      <c r="D64" s="603"/>
      <c r="E64" s="603"/>
      <c r="F64" s="488"/>
      <c r="G64" s="512"/>
      <c r="H64" s="506"/>
      <c r="I64"/>
      <c r="J64"/>
      <c r="K64"/>
      <c r="L64"/>
      <c r="M64"/>
      <c r="N64"/>
      <c r="O64"/>
      <c r="P64"/>
      <c r="Q64"/>
      <c r="R64"/>
    </row>
    <row r="65" spans="1:18" x14ac:dyDescent="0.35">
      <c r="A65" s="639" t="s">
        <v>328</v>
      </c>
      <c r="B65" s="640"/>
      <c r="C65" s="688"/>
      <c r="D65" s="674">
        <f>E65/12</f>
        <v>10500</v>
      </c>
      <c r="E65" s="674">
        <f>('1. Projekti elluviimise kulud'!J8+'1. Projekti elluviimise kulud'!J10+'1. Projekti elluviimise kulud'!J6)/'1. Projekti elluviimise kulud'!L8</f>
        <v>126000</v>
      </c>
      <c r="F65" s="488"/>
      <c r="G65" s="512">
        <f>E65</f>
        <v>126000</v>
      </c>
      <c r="H65" s="506"/>
      <c r="I65"/>
      <c r="J65"/>
      <c r="K65"/>
      <c r="L65"/>
      <c r="M65"/>
      <c r="N65"/>
      <c r="O65"/>
      <c r="P65"/>
      <c r="Q65"/>
      <c r="R65"/>
    </row>
    <row r="66" spans="1:18" x14ac:dyDescent="0.35">
      <c r="A66" s="639" t="s">
        <v>329</v>
      </c>
      <c r="B66" s="640"/>
      <c r="C66" s="688"/>
      <c r="D66" s="674">
        <f>E66/12</f>
        <v>769.23076923076917</v>
      </c>
      <c r="E66" s="674">
        <f>'1. Projekti elluviimise kulud'!J9/'1. Projekti elluviimise kulud'!L9</f>
        <v>9230.7692307692305</v>
      </c>
      <c r="F66" s="488"/>
      <c r="G66" s="512">
        <f>E66</f>
        <v>9230.7692307692305</v>
      </c>
      <c r="H66" s="506"/>
      <c r="I66"/>
      <c r="J66"/>
      <c r="K66"/>
      <c r="L66"/>
      <c r="M66"/>
      <c r="N66"/>
      <c r="O66"/>
      <c r="P66"/>
      <c r="Q66"/>
      <c r="R66"/>
    </row>
    <row r="67" spans="1:18" ht="30.75" hidden="1" customHeight="1" x14ac:dyDescent="0.35">
      <c r="A67" s="639"/>
      <c r="B67" s="640"/>
      <c r="C67" s="688"/>
      <c r="D67" s="674"/>
      <c r="E67" s="674"/>
      <c r="F67" s="488"/>
      <c r="G67" s="512">
        <f>E67</f>
        <v>0</v>
      </c>
      <c r="H67" s="506"/>
      <c r="I67"/>
      <c r="J67"/>
      <c r="K67"/>
      <c r="L67"/>
      <c r="M67"/>
      <c r="N67"/>
      <c r="O67"/>
      <c r="P67"/>
      <c r="Q67"/>
      <c r="R67"/>
    </row>
    <row r="68" spans="1:18" ht="31.5" hidden="1" customHeight="1" x14ac:dyDescent="0.35">
      <c r="A68" s="639"/>
      <c r="B68" s="640"/>
      <c r="C68" s="688"/>
      <c r="D68" s="674"/>
      <c r="E68" s="674"/>
      <c r="F68" s="488"/>
      <c r="G68" s="512">
        <f>E68</f>
        <v>0</v>
      </c>
      <c r="H68" s="506"/>
      <c r="I68"/>
      <c r="J68"/>
      <c r="K68"/>
      <c r="L68"/>
      <c r="M68"/>
      <c r="N68"/>
      <c r="O68"/>
      <c r="P68"/>
      <c r="Q68"/>
      <c r="R68"/>
    </row>
    <row r="69" spans="1:18" x14ac:dyDescent="0.35">
      <c r="A69" s="686" t="s">
        <v>484</v>
      </c>
      <c r="B69" s="600"/>
      <c r="C69" s="615"/>
      <c r="D69" s="687">
        <f>SUM(D65:D68)</f>
        <v>11269.23076923077</v>
      </c>
      <c r="E69" s="687">
        <f>SUM(E65:E68)</f>
        <v>135230.76923076922</v>
      </c>
      <c r="F69" s="516">
        <f>SUM(F65:F68)</f>
        <v>0</v>
      </c>
      <c r="G69" s="516">
        <f>SUM(G65:G68)</f>
        <v>135230.76923076922</v>
      </c>
      <c r="H69"/>
      <c r="I69"/>
      <c r="J69"/>
      <c r="K69"/>
      <c r="L69"/>
      <c r="M69"/>
      <c r="N69"/>
      <c r="O69"/>
      <c r="P69"/>
      <c r="Q69"/>
      <c r="R69"/>
    </row>
    <row r="70" spans="1:18" x14ac:dyDescent="0.35">
      <c r="A70" s="686"/>
      <c r="B70" s="600"/>
      <c r="C70" s="615"/>
      <c r="D70" s="674"/>
      <c r="E70" s="674"/>
      <c r="F70" s="488"/>
      <c r="G70" s="488"/>
      <c r="H70"/>
      <c r="I70"/>
      <c r="J70"/>
      <c r="K70"/>
      <c r="L70"/>
      <c r="M70"/>
      <c r="N70"/>
      <c r="O70"/>
      <c r="P70"/>
      <c r="Q70"/>
      <c r="R70"/>
    </row>
    <row r="71" spans="1:18" x14ac:dyDescent="0.35">
      <c r="A71" s="672" t="s">
        <v>65</v>
      </c>
      <c r="B71" s="666"/>
      <c r="C71" s="666"/>
      <c r="D71" s="667">
        <f>E71/12</f>
        <v>24096.160404397437</v>
      </c>
      <c r="E71" s="667">
        <f>E62+E69</f>
        <v>289153.92485276924</v>
      </c>
      <c r="F71" s="500">
        <f>F62+F69</f>
        <v>23775.479399815798</v>
      </c>
      <c r="G71" s="500">
        <f>G62+G69</f>
        <v>265378.44545295346</v>
      </c>
      <c r="H71"/>
      <c r="I71"/>
      <c r="J71"/>
      <c r="K71"/>
      <c r="L71"/>
      <c r="M71"/>
      <c r="N71"/>
      <c r="O71"/>
      <c r="P71"/>
      <c r="Q71"/>
      <c r="R71"/>
    </row>
    <row r="72" spans="1:18" x14ac:dyDescent="0.35">
      <c r="A72" s="517"/>
      <c r="B72" s="518"/>
      <c r="C72" s="518"/>
      <c r="D72" s="519"/>
      <c r="E72" s="519"/>
      <c r="F72" s="519"/>
      <c r="G72" s="519"/>
      <c r="H72"/>
      <c r="I72"/>
      <c r="J72"/>
      <c r="K72"/>
      <c r="L72"/>
      <c r="M72"/>
      <c r="N72"/>
      <c r="O72"/>
      <c r="P72"/>
      <c r="Q72"/>
      <c r="R72"/>
    </row>
    <row r="73" spans="1:18" x14ac:dyDescent="0.35">
      <c r="A73" s="713"/>
      <c r="B73" s="714"/>
      <c r="C73" s="714"/>
      <c r="D73" s="715"/>
      <c r="E73" s="715"/>
      <c r="F73" s="715"/>
      <c r="G73" s="715"/>
    </row>
    <row r="74" spans="1:18" x14ac:dyDescent="0.35">
      <c r="E74" s="716"/>
      <c r="G74" s="716"/>
    </row>
    <row r="75" spans="1:18" x14ac:dyDescent="0.35">
      <c r="E75" s="717"/>
      <c r="G75" s="717"/>
    </row>
    <row r="77" spans="1:18" x14ac:dyDescent="0.35">
      <c r="E77" s="718"/>
    </row>
  </sheetData>
  <conditionalFormatting sqref="H2:H73">
    <cfRule type="cellIs" dxfId="1" priority="1" operator="equal">
      <formula>0</formula>
    </cfRule>
  </conditionalFormatting>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52"/>
  <sheetViews>
    <sheetView topLeftCell="A21" workbookViewId="0">
      <selection activeCell="F21" sqref="F21"/>
    </sheetView>
  </sheetViews>
  <sheetFormatPr defaultColWidth="9.1796875" defaultRowHeight="14.5" outlineLevelCol="1" x14ac:dyDescent="0.35"/>
  <cols>
    <col min="1" max="1" width="33.54296875" style="711" customWidth="1"/>
    <col min="2" max="2" width="17.26953125" style="711" customWidth="1"/>
    <col min="3" max="3" width="15.54296875" style="711" customWidth="1"/>
    <col min="4" max="4" width="20" style="711" customWidth="1"/>
    <col min="5" max="5" width="10.453125" style="711" customWidth="1"/>
    <col min="6" max="6" width="15.453125" style="711" customWidth="1"/>
    <col min="7" max="7" width="12.26953125" style="711" customWidth="1"/>
    <col min="8" max="8" width="12.54296875" style="711" customWidth="1"/>
    <col min="9" max="9" width="11.7265625" style="711" customWidth="1"/>
    <col min="10" max="10" width="11.7265625" style="711" hidden="1" customWidth="1"/>
    <col min="11" max="11" width="9.1796875" style="711" hidden="1" customWidth="1"/>
    <col min="12" max="12" width="9.1796875" style="711" customWidth="1"/>
    <col min="13" max="13" width="10.54296875" style="711" hidden="1" customWidth="1" outlineLevel="1"/>
    <col min="14" max="15" width="9.1796875" style="711" hidden="1" customWidth="1" outlineLevel="1"/>
    <col min="16" max="19" width="0" style="711" hidden="1" customWidth="1" outlineLevel="1"/>
    <col min="20" max="20" width="9.1796875" style="711" collapsed="1"/>
    <col min="21" max="16384" width="9.1796875" style="711"/>
  </cols>
  <sheetData>
    <row r="1" spans="1:19" x14ac:dyDescent="0.35">
      <c r="A1" s="635" t="s">
        <v>32</v>
      </c>
      <c r="B1" s="603"/>
      <c r="C1" s="603"/>
      <c r="D1" s="603"/>
      <c r="E1" s="655"/>
      <c r="F1" s="603"/>
      <c r="G1" s="655"/>
      <c r="H1" s="655"/>
      <c r="I1" s="605"/>
      <c r="J1"/>
      <c r="K1"/>
      <c r="L1"/>
      <c r="M1"/>
      <c r="N1"/>
      <c r="O1"/>
      <c r="P1"/>
      <c r="Q1"/>
    </row>
    <row r="2" spans="1:19" x14ac:dyDescent="0.35">
      <c r="A2" s="603"/>
      <c r="B2" s="603"/>
      <c r="C2" s="603"/>
      <c r="D2" s="603"/>
      <c r="E2" s="603"/>
      <c r="F2" s="603"/>
      <c r="G2" s="603"/>
      <c r="H2" s="603"/>
      <c r="I2" s="603"/>
      <c r="J2"/>
      <c r="K2"/>
      <c r="L2"/>
      <c r="M2"/>
      <c r="N2"/>
      <c r="O2"/>
      <c r="P2"/>
      <c r="Q2"/>
    </row>
    <row r="3" spans="1:19" x14ac:dyDescent="0.35">
      <c r="A3" s="635" t="s">
        <v>394</v>
      </c>
      <c r="B3" s="603"/>
      <c r="C3" s="603"/>
      <c r="D3" s="603"/>
      <c r="E3" s="603"/>
      <c r="F3" s="603"/>
      <c r="G3" s="603"/>
      <c r="H3" s="603"/>
      <c r="I3" s="603"/>
      <c r="J3"/>
      <c r="K3"/>
      <c r="L3"/>
      <c r="M3"/>
      <c r="N3"/>
      <c r="O3"/>
      <c r="P3"/>
      <c r="Q3"/>
    </row>
    <row r="4" spans="1:19" x14ac:dyDescent="0.35">
      <c r="A4" s="603"/>
      <c r="B4" s="603"/>
      <c r="C4" s="603"/>
      <c r="D4" s="603"/>
      <c r="E4" s="603"/>
      <c r="F4" s="603"/>
      <c r="G4" s="603"/>
      <c r="H4" s="603"/>
      <c r="I4" s="603"/>
      <c r="J4"/>
      <c r="K4"/>
      <c r="L4"/>
      <c r="M4"/>
      <c r="N4"/>
      <c r="O4"/>
      <c r="P4"/>
      <c r="Q4"/>
    </row>
    <row r="5" spans="1:19" ht="30" customHeight="1" x14ac:dyDescent="0.35">
      <c r="A5" s="656" t="s">
        <v>281</v>
      </c>
      <c r="B5" s="656" t="s">
        <v>454</v>
      </c>
      <c r="C5" s="656" t="s">
        <v>455</v>
      </c>
      <c r="D5" s="656" t="s">
        <v>467</v>
      </c>
      <c r="E5" s="656" t="s">
        <v>0</v>
      </c>
      <c r="F5" s="657" t="s">
        <v>468</v>
      </c>
      <c r="G5" s="656" t="s">
        <v>469</v>
      </c>
      <c r="H5" s="656" t="s">
        <v>470</v>
      </c>
      <c r="I5" s="656" t="s">
        <v>471</v>
      </c>
      <c r="J5"/>
      <c r="K5"/>
      <c r="L5"/>
      <c r="M5" s="724" t="s">
        <v>507</v>
      </c>
      <c r="N5" s="724" t="s">
        <v>508</v>
      </c>
      <c r="O5" s="724" t="s">
        <v>509</v>
      </c>
      <c r="P5"/>
      <c r="Q5"/>
    </row>
    <row r="6" spans="1:19" x14ac:dyDescent="0.35">
      <c r="A6" s="658" t="s">
        <v>279</v>
      </c>
      <c r="B6" s="600"/>
      <c r="C6" s="600"/>
      <c r="D6" s="600"/>
      <c r="E6" s="600"/>
      <c r="F6" s="600"/>
      <c r="G6" s="600"/>
      <c r="H6" s="600"/>
      <c r="I6" s="600"/>
      <c r="J6"/>
      <c r="K6"/>
      <c r="L6"/>
      <c r="M6" s="488"/>
      <c r="N6" s="488"/>
      <c r="O6" s="488"/>
      <c r="P6"/>
      <c r="Q6"/>
    </row>
    <row r="7" spans="1:19" x14ac:dyDescent="0.35">
      <c r="A7" s="629" t="str">
        <f>Ruumid!A5</f>
        <v>1 korrus</v>
      </c>
      <c r="B7" s="631">
        <f>Ruumid!C5</f>
        <v>292.5</v>
      </c>
      <c r="C7" s="631">
        <f>Ruumid!D5</f>
        <v>292.5</v>
      </c>
      <c r="D7" s="659"/>
      <c r="E7" s="659"/>
      <c r="F7" s="659"/>
      <c r="G7" s="660"/>
      <c r="H7" s="660"/>
      <c r="I7" s="660"/>
      <c r="J7"/>
      <c r="K7"/>
      <c r="L7"/>
      <c r="M7" s="488"/>
      <c r="N7" s="488"/>
      <c r="O7" s="488"/>
      <c r="P7"/>
      <c r="Q7"/>
    </row>
    <row r="8" spans="1:19" x14ac:dyDescent="0.35">
      <c r="A8" s="600" t="str">
        <f>Ruumid!A6</f>
        <v>Kohvik</v>
      </c>
      <c r="B8" s="600">
        <f>Ruumid!C6</f>
        <v>132.5</v>
      </c>
      <c r="C8" s="600">
        <f>Ruumid!D6</f>
        <v>132.5</v>
      </c>
      <c r="D8" s="645" t="s">
        <v>472</v>
      </c>
      <c r="E8" s="600">
        <v>5</v>
      </c>
      <c r="F8" s="661">
        <v>1</v>
      </c>
      <c r="G8" s="615">
        <f>C8*E8*F8</f>
        <v>662.5</v>
      </c>
      <c r="H8" s="615">
        <f>G8*12</f>
        <v>7950</v>
      </c>
      <c r="I8" s="616">
        <f>H8/$H$33</f>
        <v>4.9139684653027461E-2</v>
      </c>
      <c r="J8"/>
      <c r="K8" t="s">
        <v>269</v>
      </c>
      <c r="L8"/>
      <c r="M8" s="488">
        <f>B8</f>
        <v>132.5</v>
      </c>
      <c r="N8" s="488">
        <f>B8*F8</f>
        <v>132.5</v>
      </c>
      <c r="O8" s="488">
        <f>M8-N8</f>
        <v>0</v>
      </c>
      <c r="P8"/>
      <c r="Q8"/>
    </row>
    <row r="9" spans="1:19" hidden="1" x14ac:dyDescent="0.35">
      <c r="A9" s="600" t="str">
        <f>Ruumid!A7</f>
        <v>Seminariruumid</v>
      </c>
      <c r="B9" s="600">
        <f>Ruumid!C7</f>
        <v>72.7</v>
      </c>
      <c r="C9" s="600">
        <f>Ruumid!D7</f>
        <v>72.7</v>
      </c>
      <c r="D9" s="645" t="s">
        <v>282</v>
      </c>
      <c r="E9" s="600">
        <v>240</v>
      </c>
      <c r="F9" s="710"/>
      <c r="G9" s="615">
        <f>21*E9*F9</f>
        <v>0</v>
      </c>
      <c r="H9" s="615">
        <f>G9*12</f>
        <v>0</v>
      </c>
      <c r="I9" s="616">
        <f>H9/$H$33</f>
        <v>0</v>
      </c>
      <c r="J9"/>
      <c r="K9" t="s">
        <v>271</v>
      </c>
      <c r="L9"/>
      <c r="M9" s="488">
        <f>B9</f>
        <v>72.7</v>
      </c>
      <c r="N9" s="488">
        <f>B9*F9</f>
        <v>0</v>
      </c>
      <c r="O9" s="488">
        <f>M9-N9</f>
        <v>72.7</v>
      </c>
      <c r="P9"/>
      <c r="Q9"/>
    </row>
    <row r="10" spans="1:19" x14ac:dyDescent="0.35">
      <c r="A10" s="629" t="str">
        <f>Ruumid!A10</f>
        <v>2 korrus</v>
      </c>
      <c r="B10" s="631">
        <f>Ruumid!C10</f>
        <v>300.2</v>
      </c>
      <c r="C10" s="631">
        <f>Ruumid!D10</f>
        <v>300.2</v>
      </c>
      <c r="D10" s="659"/>
      <c r="E10" s="659"/>
      <c r="F10" s="659"/>
      <c r="G10" s="660"/>
      <c r="H10" s="660"/>
      <c r="I10" s="660"/>
      <c r="J10"/>
      <c r="K10"/>
      <c r="L10"/>
      <c r="M10" s="488"/>
      <c r="N10" s="488"/>
      <c r="O10" s="488"/>
      <c r="P10"/>
      <c r="Q10"/>
    </row>
    <row r="11" spans="1:19" x14ac:dyDescent="0.35">
      <c r="A11" s="600" t="str">
        <f>Ruumid!A11</f>
        <v>Üüriruumid</v>
      </c>
      <c r="B11" s="600">
        <f>Ruumid!C11</f>
        <v>273.39999999999998</v>
      </c>
      <c r="C11" s="600">
        <f>Ruumid!D11</f>
        <v>273.39999999999998</v>
      </c>
      <c r="D11" s="645" t="s">
        <v>472</v>
      </c>
      <c r="E11" s="600">
        <v>7</v>
      </c>
      <c r="F11" s="661">
        <v>1</v>
      </c>
      <c r="G11" s="615">
        <f>C11*E11*F11</f>
        <v>1913.7999999999997</v>
      </c>
      <c r="H11" s="615">
        <f>G11*12</f>
        <v>22965.599999999999</v>
      </c>
      <c r="I11" s="616">
        <f>H11/$H$33</f>
        <v>0.14195249583239841</v>
      </c>
      <c r="J11"/>
      <c r="K11" t="s">
        <v>269</v>
      </c>
      <c r="L11"/>
      <c r="M11" s="488">
        <f>B11</f>
        <v>273.39999999999998</v>
      </c>
      <c r="N11" s="488">
        <f>B11*F11</f>
        <v>273.39999999999998</v>
      </c>
      <c r="O11" s="488">
        <f>M11-N11</f>
        <v>0</v>
      </c>
      <c r="P11"/>
      <c r="Q11"/>
    </row>
    <row r="12" spans="1:19" x14ac:dyDescent="0.35">
      <c r="A12" s="629" t="str">
        <f>Ruumid!A14</f>
        <v>3 korrus</v>
      </c>
      <c r="B12" s="629">
        <f>Ruumid!C14</f>
        <v>304.20000000000005</v>
      </c>
      <c r="C12" s="631">
        <f>Ruumid!D14</f>
        <v>304.2</v>
      </c>
      <c r="D12" s="659"/>
      <c r="E12" s="659"/>
      <c r="F12" s="659"/>
      <c r="G12" s="660"/>
      <c r="H12" s="660"/>
      <c r="I12" s="660"/>
      <c r="J12"/>
      <c r="K12"/>
      <c r="L12"/>
      <c r="M12" s="488"/>
      <c r="N12" s="488"/>
      <c r="O12" s="488"/>
      <c r="P12"/>
      <c r="Q12"/>
    </row>
    <row r="13" spans="1:19" x14ac:dyDescent="0.35">
      <c r="A13" s="600" t="str">
        <f>Ruumid!A15</f>
        <v>Üürikabinetid</v>
      </c>
      <c r="B13" s="600">
        <f>Ruumid!C15</f>
        <v>105.6</v>
      </c>
      <c r="C13" s="600">
        <f>Ruumid!D15</f>
        <v>105.6</v>
      </c>
      <c r="D13" s="645" t="s">
        <v>472</v>
      </c>
      <c r="E13" s="600">
        <v>15</v>
      </c>
      <c r="F13" s="661">
        <v>0.75</v>
      </c>
      <c r="G13" s="615">
        <f>C13*E13*F13</f>
        <v>1188</v>
      </c>
      <c r="H13" s="615">
        <f t="shared" ref="H13:H14" si="0">G13*12</f>
        <v>14256</v>
      </c>
      <c r="I13" s="616">
        <f t="shared" ref="I13:I14" si="1">H13/$H$33</f>
        <v>8.8117653385353406E-2</v>
      </c>
      <c r="J13"/>
      <c r="K13" t="s">
        <v>271</v>
      </c>
      <c r="L13"/>
      <c r="M13" s="488">
        <f t="shared" ref="M13:M14" si="2">B13</f>
        <v>105.6</v>
      </c>
      <c r="N13" s="488">
        <f t="shared" ref="N13:N14" si="3">B13*F13</f>
        <v>79.199999999999989</v>
      </c>
      <c r="O13" s="488">
        <f t="shared" ref="O13:O14" si="4">M13-N13</f>
        <v>26.400000000000006</v>
      </c>
      <c r="P13"/>
      <c r="Q13"/>
    </row>
    <row r="14" spans="1:19" x14ac:dyDescent="0.35">
      <c r="A14" s="600" t="str">
        <f>Ruumid!A18</f>
        <v>Open Office (12 kohta)</v>
      </c>
      <c r="B14" s="600">
        <f>Ruumid!C18</f>
        <v>35.6</v>
      </c>
      <c r="C14" s="600">
        <f>Ruumid!D18</f>
        <v>35.6</v>
      </c>
      <c r="D14" s="600" t="s">
        <v>473</v>
      </c>
      <c r="E14" s="600">
        <v>15</v>
      </c>
      <c r="F14" s="661">
        <v>0.75</v>
      </c>
      <c r="G14" s="615">
        <f>21*E14*F14*12</f>
        <v>2835</v>
      </c>
      <c r="H14" s="615">
        <f t="shared" si="0"/>
        <v>34020</v>
      </c>
      <c r="I14" s="616">
        <f t="shared" si="1"/>
        <v>0.21028076376050242</v>
      </c>
      <c r="J14"/>
      <c r="K14" t="s">
        <v>271</v>
      </c>
      <c r="L14"/>
      <c r="M14" s="488">
        <f t="shared" si="2"/>
        <v>35.6</v>
      </c>
      <c r="N14" s="488">
        <f t="shared" si="3"/>
        <v>26.700000000000003</v>
      </c>
      <c r="O14" s="488">
        <f t="shared" si="4"/>
        <v>8.8999999999999986</v>
      </c>
      <c r="P14"/>
      <c r="Q14">
        <v>12</v>
      </c>
      <c r="R14" s="711">
        <f>Q14*F14</f>
        <v>9</v>
      </c>
      <c r="S14" s="711">
        <f>Q14-R14</f>
        <v>3</v>
      </c>
    </row>
    <row r="15" spans="1:19" x14ac:dyDescent="0.35">
      <c r="A15" s="629" t="str">
        <f>Ruumid!A19</f>
        <v>4 korrus</v>
      </c>
      <c r="B15" s="631">
        <f>Ruumid!C19</f>
        <v>307.8</v>
      </c>
      <c r="C15" s="631">
        <f>Ruumid!D19</f>
        <v>307.8</v>
      </c>
      <c r="D15" s="659"/>
      <c r="E15" s="659"/>
      <c r="F15" s="659"/>
      <c r="G15" s="660"/>
      <c r="H15" s="660"/>
      <c r="I15" s="660"/>
      <c r="J15"/>
      <c r="K15"/>
      <c r="L15"/>
      <c r="M15" s="488"/>
      <c r="N15" s="488"/>
      <c r="O15" s="488"/>
      <c r="P15"/>
      <c r="Q15"/>
    </row>
    <row r="16" spans="1:19" x14ac:dyDescent="0.35">
      <c r="A16" s="600" t="str">
        <f>Ruumid!A20</f>
        <v>Üüriruumid</v>
      </c>
      <c r="B16" s="600">
        <f>Ruumid!C20</f>
        <v>265.60000000000002</v>
      </c>
      <c r="C16" s="600">
        <f>Ruumid!D20</f>
        <v>265.60000000000002</v>
      </c>
      <c r="D16" s="645" t="s">
        <v>472</v>
      </c>
      <c r="E16" s="600">
        <v>7</v>
      </c>
      <c r="F16" s="661">
        <v>1</v>
      </c>
      <c r="G16" s="615">
        <f t="shared" ref="G16:G20" si="5">C16*E16*F16</f>
        <v>1859.2000000000003</v>
      </c>
      <c r="H16" s="615">
        <f t="shared" ref="H16:H17" si="6">G16*12</f>
        <v>22310.400000000001</v>
      </c>
      <c r="I16" s="616">
        <f t="shared" ref="I16:I17" si="7">H16/$H$33</f>
        <v>0.13790264408589989</v>
      </c>
      <c r="J16"/>
      <c r="K16" t="s">
        <v>269</v>
      </c>
      <c r="L16"/>
      <c r="M16" s="488">
        <f t="shared" ref="M16:M17" si="8">B16</f>
        <v>265.60000000000002</v>
      </c>
      <c r="N16" s="488">
        <f>B16*F16</f>
        <v>265.60000000000002</v>
      </c>
      <c r="O16" s="488">
        <f t="shared" ref="O16:O17" si="9">M16-N16</f>
        <v>0</v>
      </c>
      <c r="P16"/>
      <c r="Q16"/>
    </row>
    <row r="17" spans="1:17" x14ac:dyDescent="0.35">
      <c r="A17" s="600" t="str">
        <f>Ruumid!A21</f>
        <v>Üürikabinet</v>
      </c>
      <c r="B17" s="600">
        <f>Ruumid!C21</f>
        <v>15.8</v>
      </c>
      <c r="C17" s="600">
        <f>Ruumid!D21</f>
        <v>15.8</v>
      </c>
      <c r="D17" s="645" t="s">
        <v>472</v>
      </c>
      <c r="E17" s="600">
        <v>7</v>
      </c>
      <c r="F17" s="661">
        <v>1</v>
      </c>
      <c r="G17" s="615">
        <f t="shared" si="5"/>
        <v>110.60000000000001</v>
      </c>
      <c r="H17" s="615">
        <f t="shared" si="6"/>
        <v>1327.2</v>
      </c>
      <c r="I17" s="616">
        <f t="shared" si="7"/>
        <v>8.2035458454714529E-3</v>
      </c>
      <c r="J17"/>
      <c r="K17" t="s">
        <v>269</v>
      </c>
      <c r="L17"/>
      <c r="M17" s="488">
        <f t="shared" si="8"/>
        <v>15.8</v>
      </c>
      <c r="N17" s="488">
        <f>B17*F17</f>
        <v>15.8</v>
      </c>
      <c r="O17" s="488">
        <f t="shared" si="9"/>
        <v>0</v>
      </c>
      <c r="P17"/>
      <c r="Q17"/>
    </row>
    <row r="18" spans="1:17" x14ac:dyDescent="0.35">
      <c r="A18" s="629" t="str">
        <f>Ruumid!A24</f>
        <v>5 korrus</v>
      </c>
      <c r="B18" s="631">
        <f>Ruumid!C24</f>
        <v>301.7</v>
      </c>
      <c r="C18" s="631">
        <f>Ruumid!D24</f>
        <v>301.7</v>
      </c>
      <c r="D18" s="659"/>
      <c r="E18" s="659"/>
      <c r="F18" s="659"/>
      <c r="G18" s="660"/>
      <c r="H18" s="660"/>
      <c r="I18" s="660"/>
      <c r="J18"/>
      <c r="K18"/>
      <c r="L18"/>
      <c r="M18" s="488"/>
      <c r="N18" s="488"/>
      <c r="O18" s="488"/>
      <c r="P18"/>
      <c r="Q18"/>
    </row>
    <row r="19" spans="1:17" x14ac:dyDescent="0.35">
      <c r="A19" s="600" t="str">
        <f>Ruumid!A25</f>
        <v>Üürituba</v>
      </c>
      <c r="B19" s="600">
        <f>Ruumid!C25</f>
        <v>111.9</v>
      </c>
      <c r="C19" s="600">
        <f>Ruumid!D25</f>
        <v>111.9</v>
      </c>
      <c r="D19" s="645" t="s">
        <v>472</v>
      </c>
      <c r="E19" s="600">
        <v>55</v>
      </c>
      <c r="F19" s="662">
        <v>0.75</v>
      </c>
      <c r="G19" s="615">
        <f t="shared" si="5"/>
        <v>4615.875</v>
      </c>
      <c r="H19" s="615">
        <f>G19*12</f>
        <v>55390.5</v>
      </c>
      <c r="I19" s="616">
        <f t="shared" ref="I19:I20" si="10">H19/$H$33</f>
        <v>0.34237379909100851</v>
      </c>
      <c r="J19" s="492"/>
      <c r="K19" t="s">
        <v>269</v>
      </c>
      <c r="L19"/>
      <c r="M19" s="488">
        <f t="shared" ref="M19:M20" si="11">B19</f>
        <v>111.9</v>
      </c>
      <c r="N19" s="488">
        <f>B19*F19</f>
        <v>83.925000000000011</v>
      </c>
      <c r="O19" s="488">
        <f t="shared" ref="O19:O20" si="12">M19-N19</f>
        <v>27.974999999999994</v>
      </c>
      <c r="P19"/>
      <c r="Q19"/>
    </row>
    <row r="20" spans="1:17" x14ac:dyDescent="0.35">
      <c r="A20" s="600" t="str">
        <f>Ruumid!A27</f>
        <v>Üüriruumid</v>
      </c>
      <c r="B20" s="600">
        <f>Ruumid!C27</f>
        <v>26.4</v>
      </c>
      <c r="C20" s="600">
        <f>Ruumid!D27</f>
        <v>26.4</v>
      </c>
      <c r="D20" s="645" t="s">
        <v>472</v>
      </c>
      <c r="E20" s="600">
        <v>15</v>
      </c>
      <c r="F20" s="662">
        <v>0.75</v>
      </c>
      <c r="G20" s="615">
        <f t="shared" si="5"/>
        <v>297</v>
      </c>
      <c r="H20" s="615">
        <f>G20*12</f>
        <v>3564</v>
      </c>
      <c r="I20" s="616">
        <f t="shared" si="10"/>
        <v>2.2029413346338352E-2</v>
      </c>
      <c r="J20"/>
      <c r="K20" t="s">
        <v>269</v>
      </c>
      <c r="L20"/>
      <c r="M20" s="488">
        <f t="shared" si="11"/>
        <v>26.4</v>
      </c>
      <c r="N20" s="488">
        <f>B20*F20</f>
        <v>19.799999999999997</v>
      </c>
      <c r="O20" s="488">
        <f t="shared" si="12"/>
        <v>6.6000000000000014</v>
      </c>
      <c r="P20"/>
      <c r="Q20"/>
    </row>
    <row r="21" spans="1:17" x14ac:dyDescent="0.35">
      <c r="A21" s="629"/>
      <c r="B21" s="629"/>
      <c r="C21" s="631"/>
      <c r="D21" s="659"/>
      <c r="E21" s="659"/>
      <c r="F21" s="659"/>
      <c r="G21" s="660"/>
      <c r="H21" s="660"/>
      <c r="I21" s="660"/>
      <c r="J21"/>
      <c r="K21"/>
      <c r="L21"/>
      <c r="M21" s="488"/>
      <c r="N21" s="488"/>
      <c r="O21" s="488"/>
      <c r="P21"/>
      <c r="Q21"/>
    </row>
    <row r="22" spans="1:17" hidden="1" x14ac:dyDescent="0.35">
      <c r="A22" s="600"/>
      <c r="B22" s="600"/>
      <c r="C22" s="600"/>
      <c r="D22" s="645"/>
      <c r="E22" s="600"/>
      <c r="F22" s="661"/>
      <c r="G22" s="615"/>
      <c r="H22" s="615"/>
      <c r="I22" s="616"/>
      <c r="J22"/>
      <c r="K22"/>
      <c r="L22"/>
      <c r="M22" s="488"/>
      <c r="N22" s="488"/>
      <c r="O22" s="488"/>
      <c r="P22"/>
      <c r="Q22"/>
    </row>
    <row r="23" spans="1:17" hidden="1" x14ac:dyDescent="0.35">
      <c r="A23" s="600"/>
      <c r="B23" s="600"/>
      <c r="C23" s="600"/>
      <c r="D23" s="645"/>
      <c r="E23" s="600"/>
      <c r="F23" s="663"/>
      <c r="G23" s="615"/>
      <c r="H23" s="615"/>
      <c r="I23" s="615"/>
      <c r="J23"/>
      <c r="K23"/>
      <c r="L23"/>
      <c r="P23"/>
      <c r="Q23"/>
    </row>
    <row r="24" spans="1:17" ht="15" hidden="1" customHeight="1" x14ac:dyDescent="0.35">
      <c r="A24" s="658"/>
      <c r="B24" s="648"/>
      <c r="C24" s="648"/>
      <c r="D24" s="648"/>
      <c r="E24" s="648"/>
      <c r="F24" s="664"/>
      <c r="G24" s="665"/>
      <c r="H24" s="665"/>
      <c r="I24" s="665"/>
      <c r="J24"/>
      <c r="K24"/>
      <c r="L24"/>
      <c r="M24" s="488"/>
      <c r="N24" s="488"/>
      <c r="O24" s="488"/>
      <c r="P24"/>
      <c r="Q24"/>
    </row>
    <row r="25" spans="1:17" hidden="1" x14ac:dyDescent="0.35">
      <c r="A25" s="600"/>
      <c r="B25" s="600"/>
      <c r="C25" s="600"/>
      <c r="D25" s="600"/>
      <c r="E25" s="600"/>
      <c r="F25" s="600"/>
      <c r="G25" s="615"/>
      <c r="H25" s="615"/>
      <c r="I25" s="615"/>
      <c r="J25"/>
      <c r="K25"/>
      <c r="L25"/>
      <c r="M25" s="488"/>
      <c r="N25" s="488"/>
      <c r="O25" s="488"/>
      <c r="P25"/>
      <c r="Q25"/>
    </row>
    <row r="26" spans="1:17" hidden="1" x14ac:dyDescent="0.35">
      <c r="A26" s="629"/>
      <c r="B26" s="631"/>
      <c r="C26" s="631"/>
      <c r="D26" s="631"/>
      <c r="E26" s="659"/>
      <c r="F26" s="659"/>
      <c r="G26" s="660"/>
      <c r="H26" s="660"/>
      <c r="I26" s="660"/>
      <c r="J26"/>
      <c r="K26"/>
      <c r="L26"/>
      <c r="M26" s="488"/>
      <c r="N26" s="488"/>
      <c r="O26" s="488"/>
      <c r="P26"/>
      <c r="Q26"/>
    </row>
    <row r="27" spans="1:17" hidden="1" x14ac:dyDescent="0.35">
      <c r="A27" s="600"/>
      <c r="B27" s="600"/>
      <c r="C27" s="600"/>
      <c r="D27" s="600"/>
      <c r="E27" s="600"/>
      <c r="F27" s="662"/>
      <c r="G27" s="615"/>
      <c r="H27" s="615"/>
      <c r="I27" s="616"/>
      <c r="J27"/>
      <c r="K27" t="s">
        <v>269</v>
      </c>
      <c r="L27"/>
      <c r="M27" s="488">
        <f t="shared" ref="M27:M29" si="13">B27</f>
        <v>0</v>
      </c>
      <c r="N27" s="488">
        <f>B27*F27</f>
        <v>0</v>
      </c>
      <c r="O27" s="488">
        <f t="shared" ref="O27:O29" si="14">M27-N27</f>
        <v>0</v>
      </c>
      <c r="P27"/>
      <c r="Q27"/>
    </row>
    <row r="28" spans="1:17" hidden="1" x14ac:dyDescent="0.35">
      <c r="A28" s="600"/>
      <c r="B28" s="600"/>
      <c r="C28" s="600"/>
      <c r="D28" s="600"/>
      <c r="E28" s="600"/>
      <c r="F28" s="662"/>
      <c r="G28" s="615"/>
      <c r="H28" s="615"/>
      <c r="I28" s="616"/>
      <c r="J28"/>
      <c r="K28" t="s">
        <v>269</v>
      </c>
      <c r="L28"/>
      <c r="M28" s="488">
        <f t="shared" si="13"/>
        <v>0</v>
      </c>
      <c r="N28" s="488">
        <f>B28*F28</f>
        <v>0</v>
      </c>
      <c r="O28" s="488">
        <f t="shared" si="14"/>
        <v>0</v>
      </c>
      <c r="P28"/>
      <c r="Q28"/>
    </row>
    <row r="29" spans="1:17" hidden="1" x14ac:dyDescent="0.35">
      <c r="A29" s="600"/>
      <c r="B29" s="600"/>
      <c r="C29" s="600"/>
      <c r="D29" s="600"/>
      <c r="E29" s="600"/>
      <c r="F29" s="661"/>
      <c r="G29" s="615"/>
      <c r="H29" s="615"/>
      <c r="I29" s="616"/>
      <c r="J29"/>
      <c r="K29" t="s">
        <v>269</v>
      </c>
      <c r="L29"/>
      <c r="M29" s="488">
        <f t="shared" si="13"/>
        <v>0</v>
      </c>
      <c r="N29" s="488">
        <f>B29*F29</f>
        <v>0</v>
      </c>
      <c r="O29" s="488">
        <f t="shared" si="14"/>
        <v>0</v>
      </c>
      <c r="P29"/>
      <c r="Q29"/>
    </row>
    <row r="30" spans="1:17" hidden="1" x14ac:dyDescent="0.35">
      <c r="A30" s="629"/>
      <c r="B30" s="631"/>
      <c r="C30" s="631"/>
      <c r="D30" s="631"/>
      <c r="E30" s="659"/>
      <c r="F30" s="659"/>
      <c r="G30" s="660"/>
      <c r="H30" s="660"/>
      <c r="I30" s="660"/>
      <c r="J30"/>
      <c r="K30"/>
      <c r="L30"/>
      <c r="M30" s="488"/>
      <c r="N30" s="488"/>
      <c r="O30" s="488"/>
      <c r="P30"/>
      <c r="Q30"/>
    </row>
    <row r="31" spans="1:17" hidden="1" x14ac:dyDescent="0.35">
      <c r="A31" s="640"/>
      <c r="B31" s="600"/>
      <c r="C31" s="600"/>
      <c r="D31" s="600"/>
      <c r="E31" s="600"/>
      <c r="F31" s="661"/>
      <c r="G31" s="615"/>
      <c r="H31" s="615"/>
      <c r="I31" s="616"/>
      <c r="J31"/>
      <c r="K31" t="s">
        <v>269</v>
      </c>
      <c r="L31"/>
      <c r="M31" s="488">
        <f>B31</f>
        <v>0</v>
      </c>
      <c r="N31" s="488">
        <f>B31*F31</f>
        <v>0</v>
      </c>
      <c r="O31" s="488">
        <f>M31-N31</f>
        <v>0</v>
      </c>
      <c r="P31"/>
      <c r="Q31"/>
    </row>
    <row r="32" spans="1:17" x14ac:dyDescent="0.35">
      <c r="A32" s="600"/>
      <c r="B32" s="600"/>
      <c r="C32" s="600"/>
      <c r="D32" s="600"/>
      <c r="E32" s="600"/>
      <c r="F32" s="600"/>
      <c r="G32" s="615"/>
      <c r="H32" s="615"/>
      <c r="I32" s="615"/>
      <c r="J32"/>
      <c r="K32"/>
      <c r="L32"/>
      <c r="M32" s="488"/>
      <c r="N32" s="488"/>
      <c r="O32" s="488"/>
      <c r="P32"/>
      <c r="Q32"/>
    </row>
    <row r="33" spans="1:17" x14ac:dyDescent="0.35">
      <c r="A33" s="666" t="s">
        <v>463</v>
      </c>
      <c r="B33" s="600"/>
      <c r="C33" s="600"/>
      <c r="D33" s="600"/>
      <c r="E33" s="600"/>
      <c r="F33" s="600"/>
      <c r="G33" s="667">
        <f>SUM(G7:G32)</f>
        <v>13481.975</v>
      </c>
      <c r="H33" s="667">
        <f>SUM(H7:H32)</f>
        <v>161783.70000000001</v>
      </c>
      <c r="I33" s="667"/>
      <c r="J33"/>
      <c r="K33"/>
      <c r="L33"/>
      <c r="M33" s="500">
        <f>SUM(M6:M22)</f>
        <v>1039.5</v>
      </c>
      <c r="N33" s="500">
        <f>SUM(N6:N22)</f>
        <v>896.92499999999995</v>
      </c>
      <c r="O33" s="500">
        <f>SUM(O6:O22)</f>
        <v>142.57499999999999</v>
      </c>
      <c r="P33"/>
      <c r="Q33"/>
    </row>
    <row r="34" spans="1:17" x14ac:dyDescent="0.35">
      <c r="A34" s="603"/>
      <c r="B34" s="603"/>
      <c r="C34" s="603"/>
      <c r="D34" s="603"/>
      <c r="E34" s="603"/>
      <c r="F34" s="603"/>
      <c r="G34" s="603"/>
      <c r="H34" s="603"/>
      <c r="I34" s="603"/>
      <c r="J34"/>
      <c r="K34"/>
      <c r="L34"/>
      <c r="M34" s="722"/>
      <c r="N34" s="723">
        <f>N33/M33</f>
        <v>0.86284271284271274</v>
      </c>
      <c r="O34" s="722">
        <f>O33/M33</f>
        <v>0.13715728715728714</v>
      </c>
      <c r="P34"/>
      <c r="Q34"/>
    </row>
    <row r="35" spans="1:17" x14ac:dyDescent="0.35">
      <c r="A35" s="635" t="s">
        <v>395</v>
      </c>
      <c r="B35" s="603"/>
      <c r="C35" s="603"/>
      <c r="D35" s="603"/>
      <c r="E35" s="603"/>
      <c r="F35" s="603"/>
      <c r="G35" s="603"/>
      <c r="H35" s="603"/>
      <c r="I35" s="603"/>
      <c r="J35"/>
      <c r="K35"/>
      <c r="L35"/>
      <c r="M35"/>
      <c r="N35"/>
      <c r="O35"/>
      <c r="P35"/>
      <c r="Q35"/>
    </row>
    <row r="36" spans="1:17" x14ac:dyDescent="0.35">
      <c r="A36" s="603"/>
      <c r="B36" s="603"/>
      <c r="C36" s="603"/>
      <c r="D36" s="603"/>
      <c r="E36" s="603"/>
      <c r="F36" s="603"/>
      <c r="G36" s="603"/>
      <c r="H36" s="603"/>
      <c r="I36" s="603"/>
      <c r="J36"/>
      <c r="K36"/>
      <c r="L36"/>
      <c r="M36"/>
      <c r="N36"/>
      <c r="O36"/>
      <c r="P36"/>
      <c r="Q36"/>
    </row>
    <row r="37" spans="1:17" x14ac:dyDescent="0.35">
      <c r="A37" s="603"/>
      <c r="B37" s="603"/>
      <c r="C37" s="603"/>
      <c r="D37" s="603"/>
      <c r="E37" s="603"/>
      <c r="F37" s="603"/>
      <c r="G37" s="603"/>
      <c r="H37" s="603"/>
      <c r="I37" s="603"/>
      <c r="J37"/>
      <c r="K37"/>
      <c r="L37"/>
      <c r="M37"/>
      <c r="N37"/>
      <c r="O37"/>
      <c r="P37"/>
      <c r="Q37"/>
    </row>
    <row r="38" spans="1:17" ht="29" x14ac:dyDescent="0.35">
      <c r="A38" s="668"/>
      <c r="B38" s="668"/>
      <c r="C38" s="668"/>
      <c r="D38" s="668"/>
      <c r="E38" s="668"/>
      <c r="F38" s="668"/>
      <c r="G38" s="669" t="s">
        <v>474</v>
      </c>
      <c r="H38" s="669" t="s">
        <v>475</v>
      </c>
      <c r="I38" s="669" t="s">
        <v>283</v>
      </c>
      <c r="J38" s="498"/>
      <c r="K38"/>
      <c r="L38"/>
      <c r="M38"/>
      <c r="N38"/>
      <c r="O38"/>
      <c r="P38"/>
      <c r="Q38"/>
    </row>
    <row r="39" spans="1:17" x14ac:dyDescent="0.35">
      <c r="A39" s="600" t="s">
        <v>287</v>
      </c>
      <c r="B39" s="600"/>
      <c r="C39" s="600"/>
      <c r="D39" s="600"/>
      <c r="E39" s="600"/>
      <c r="F39" s="600"/>
      <c r="G39" s="615">
        <f>H39/12</f>
        <v>300.04446963496815</v>
      </c>
      <c r="H39" s="615">
        <f>Kulud75!F5</f>
        <v>3600.5336356196176</v>
      </c>
      <c r="I39" s="616">
        <f>H39/$H$47</f>
        <v>0.15143894998169891</v>
      </c>
      <c r="J39" s="499"/>
      <c r="K39"/>
      <c r="L39"/>
      <c r="M39"/>
      <c r="N39"/>
      <c r="O39"/>
      <c r="P39"/>
      <c r="Q39"/>
    </row>
    <row r="40" spans="1:17" x14ac:dyDescent="0.35">
      <c r="A40" s="600" t="s">
        <v>464</v>
      </c>
      <c r="B40" s="600"/>
      <c r="C40" s="600"/>
      <c r="D40" s="600"/>
      <c r="E40" s="600"/>
      <c r="F40" s="600"/>
      <c r="G40" s="615">
        <f t="shared" ref="G40:G45" si="15">H40/12</f>
        <v>46.196469002071829</v>
      </c>
      <c r="H40" s="615">
        <f>Kulud75!F14</f>
        <v>554.35762802486192</v>
      </c>
      <c r="I40" s="616">
        <f t="shared" ref="I40:I45" si="16">H40/$H$47</f>
        <v>2.331635962844799E-2</v>
      </c>
      <c r="J40" s="499"/>
      <c r="K40"/>
      <c r="L40"/>
      <c r="M40"/>
      <c r="N40"/>
      <c r="O40"/>
      <c r="P40"/>
      <c r="Q40"/>
    </row>
    <row r="41" spans="1:17" x14ac:dyDescent="0.35">
      <c r="A41" s="600" t="s">
        <v>398</v>
      </c>
      <c r="B41" s="600"/>
      <c r="C41" s="600"/>
      <c r="D41" s="600"/>
      <c r="E41" s="600"/>
      <c r="F41" s="600"/>
      <c r="G41" s="615">
        <f t="shared" si="15"/>
        <v>187.37724657922919</v>
      </c>
      <c r="H41" s="615">
        <f>Kulud75!F20</f>
        <v>2248.5269589507502</v>
      </c>
      <c r="I41" s="616">
        <f t="shared" si="16"/>
        <v>9.4573359432162316E-2</v>
      </c>
      <c r="J41" s="499"/>
      <c r="K41"/>
      <c r="L41"/>
      <c r="M41"/>
      <c r="N41"/>
      <c r="O41"/>
      <c r="P41"/>
      <c r="Q41"/>
    </row>
    <row r="42" spans="1:17" x14ac:dyDescent="0.35">
      <c r="A42" s="600" t="s">
        <v>465</v>
      </c>
      <c r="B42" s="600"/>
      <c r="C42" s="600"/>
      <c r="D42" s="600"/>
      <c r="E42" s="600"/>
      <c r="F42" s="600"/>
      <c r="G42" s="615">
        <f t="shared" si="15"/>
        <v>579.39906502337442</v>
      </c>
      <c r="H42" s="615">
        <f>Kulud75!F43</f>
        <v>6952.7887802804926</v>
      </c>
      <c r="I42" s="616">
        <f t="shared" si="16"/>
        <v>0.29243527179243162</v>
      </c>
      <c r="J42" s="499"/>
      <c r="K42"/>
      <c r="L42"/>
      <c r="M42"/>
      <c r="N42"/>
      <c r="O42"/>
      <c r="P42"/>
      <c r="Q42"/>
    </row>
    <row r="43" spans="1:17" x14ac:dyDescent="0.35">
      <c r="A43" s="600" t="s">
        <v>403</v>
      </c>
      <c r="B43" s="600"/>
      <c r="C43" s="600"/>
      <c r="D43" s="600"/>
      <c r="E43" s="600"/>
      <c r="F43" s="600"/>
      <c r="G43" s="615">
        <f t="shared" si="15"/>
        <v>410.8523852528686</v>
      </c>
      <c r="H43" s="615">
        <f>Kulud75!F48</f>
        <v>4930.2286230344234</v>
      </c>
      <c r="I43" s="616">
        <f t="shared" si="16"/>
        <v>0.20736610775018149</v>
      </c>
      <c r="J43" s="499"/>
      <c r="K43"/>
      <c r="L43"/>
      <c r="M43"/>
      <c r="N43"/>
      <c r="O43"/>
      <c r="P43"/>
      <c r="Q43"/>
    </row>
    <row r="44" spans="1:17" x14ac:dyDescent="0.35">
      <c r="A44" s="600" t="s">
        <v>404</v>
      </c>
      <c r="B44" s="600"/>
      <c r="C44" s="600"/>
      <c r="D44" s="600"/>
      <c r="E44" s="600"/>
      <c r="F44" s="600"/>
      <c r="G44" s="615">
        <f t="shared" si="15"/>
        <v>304.94687632809178</v>
      </c>
      <c r="H44" s="615">
        <f>Kulud75!F54</f>
        <v>3659.3625159371013</v>
      </c>
      <c r="I44" s="616">
        <f t="shared" si="16"/>
        <v>0.15391330094338507</v>
      </c>
      <c r="J44" s="499"/>
      <c r="K44"/>
      <c r="L44"/>
      <c r="M44"/>
      <c r="N44"/>
      <c r="O44"/>
      <c r="P44"/>
      <c r="Q44"/>
    </row>
    <row r="45" spans="1:17" x14ac:dyDescent="0.35">
      <c r="A45" s="615" t="s">
        <v>406</v>
      </c>
      <c r="B45" s="600"/>
      <c r="C45" s="600"/>
      <c r="D45" s="600"/>
      <c r="E45" s="600"/>
      <c r="F45" s="600"/>
      <c r="G45" s="615">
        <f t="shared" si="15"/>
        <v>152.47343816404589</v>
      </c>
      <c r="H45" s="615">
        <f>Kulud75!F56</f>
        <v>1829.6812579685507</v>
      </c>
      <c r="I45" s="616">
        <f t="shared" si="16"/>
        <v>7.6956650471692534E-2</v>
      </c>
      <c r="J45" s="499"/>
      <c r="K45"/>
      <c r="L45"/>
      <c r="M45"/>
      <c r="N45"/>
      <c r="O45"/>
      <c r="P45"/>
      <c r="Q45"/>
    </row>
    <row r="46" spans="1:17" x14ac:dyDescent="0.35">
      <c r="A46" s="600"/>
      <c r="B46" s="600"/>
      <c r="C46" s="600"/>
      <c r="D46" s="600"/>
      <c r="E46" s="600"/>
      <c r="F46" s="600"/>
      <c r="G46" s="615"/>
      <c r="H46" s="615"/>
      <c r="I46" s="616"/>
      <c r="J46" s="499"/>
      <c r="K46"/>
      <c r="L46"/>
      <c r="M46"/>
      <c r="N46"/>
      <c r="O46"/>
      <c r="P46"/>
      <c r="Q46"/>
    </row>
    <row r="47" spans="1:17" x14ac:dyDescent="0.35">
      <c r="A47" s="666" t="s">
        <v>466</v>
      </c>
      <c r="B47" s="600"/>
      <c r="C47" s="600"/>
      <c r="D47" s="600"/>
      <c r="E47" s="600"/>
      <c r="F47" s="600"/>
      <c r="G47" s="667">
        <f>SUM(G39:G46)</f>
        <v>1981.2899499846499</v>
      </c>
      <c r="H47" s="667">
        <f>SUM(H39:H46)</f>
        <v>23775.479399815798</v>
      </c>
      <c r="I47" s="670">
        <f>SUM(I39:I46)</f>
        <v>0.99999999999999989</v>
      </c>
      <c r="J47" s="501"/>
      <c r="K47"/>
      <c r="L47"/>
      <c r="M47"/>
      <c r="N47"/>
      <c r="O47"/>
      <c r="P47"/>
      <c r="Q47"/>
    </row>
    <row r="48" spans="1:17" x14ac:dyDescent="0.35">
      <c r="A48"/>
      <c r="B48"/>
      <c r="C48"/>
      <c r="D48"/>
      <c r="E48"/>
      <c r="F48"/>
      <c r="G48"/>
      <c r="H48"/>
      <c r="I48"/>
      <c r="J48"/>
      <c r="K48"/>
      <c r="L48"/>
      <c r="M48"/>
      <c r="N48"/>
      <c r="O48"/>
      <c r="P48"/>
      <c r="Q48"/>
    </row>
    <row r="49" spans="1:17" x14ac:dyDescent="0.35">
      <c r="A49" s="618" t="s">
        <v>65</v>
      </c>
      <c r="B49" s="502"/>
      <c r="C49" s="502"/>
      <c r="D49" s="502"/>
      <c r="E49" s="502"/>
      <c r="F49" s="502"/>
      <c r="G49" s="503">
        <f>F36+G47</f>
        <v>1981.2899499846499</v>
      </c>
      <c r="H49" s="503">
        <f>G36+H47</f>
        <v>23775.479399815798</v>
      </c>
      <c r="I49" s="504"/>
      <c r="J49"/>
      <c r="K49"/>
      <c r="L49"/>
      <c r="M49"/>
      <c r="N49"/>
      <c r="O49"/>
      <c r="P49"/>
      <c r="Q49"/>
    </row>
    <row r="50" spans="1:17" x14ac:dyDescent="0.35">
      <c r="A50"/>
      <c r="B50"/>
      <c r="C50"/>
      <c r="D50"/>
      <c r="E50"/>
      <c r="F50"/>
      <c r="G50"/>
      <c r="H50"/>
      <c r="I50"/>
      <c r="J50"/>
      <c r="K50"/>
      <c r="L50"/>
      <c r="M50"/>
      <c r="N50"/>
      <c r="O50"/>
      <c r="P50"/>
      <c r="Q50"/>
    </row>
    <row r="51" spans="1:17" x14ac:dyDescent="0.35">
      <c r="A51"/>
      <c r="B51"/>
      <c r="C51"/>
      <c r="D51"/>
      <c r="E51"/>
      <c r="F51"/>
      <c r="G51"/>
      <c r="H51"/>
      <c r="I51"/>
      <c r="J51"/>
      <c r="K51"/>
      <c r="L51"/>
      <c r="M51"/>
      <c r="N51"/>
      <c r="O51"/>
      <c r="P51"/>
      <c r="Q51"/>
    </row>
    <row r="52" spans="1:17" x14ac:dyDescent="0.35">
      <c r="A52"/>
      <c r="B52"/>
      <c r="C52"/>
      <c r="D52"/>
      <c r="E52"/>
      <c r="F52"/>
      <c r="G52"/>
      <c r="H52"/>
      <c r="I52"/>
      <c r="J52"/>
      <c r="K52"/>
      <c r="L52"/>
      <c r="M52"/>
      <c r="N52"/>
      <c r="O52"/>
      <c r="P52"/>
      <c r="Q52"/>
    </row>
  </sheetData>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I43"/>
  <sheetViews>
    <sheetView workbookViewId="0">
      <selection activeCell="F21" sqref="F21"/>
    </sheetView>
  </sheetViews>
  <sheetFormatPr defaultColWidth="9.1796875" defaultRowHeight="14" x14ac:dyDescent="0.3"/>
  <cols>
    <col min="1" max="1" width="33.54296875" style="520" customWidth="1"/>
    <col min="2" max="2" width="12.54296875" style="520" customWidth="1"/>
    <col min="3" max="3" width="12.81640625" style="520" customWidth="1"/>
    <col min="4" max="4" width="12" style="520" customWidth="1"/>
    <col min="5" max="6" width="13.26953125" style="520" customWidth="1"/>
    <col min="7" max="16384" width="9.1796875" style="520"/>
  </cols>
  <sheetData>
    <row r="1" spans="1:9" x14ac:dyDescent="0.3">
      <c r="A1" s="523" t="s">
        <v>344</v>
      </c>
      <c r="B1" s="524"/>
      <c r="C1" s="524"/>
      <c r="D1" s="524"/>
      <c r="E1" s="524"/>
      <c r="F1" s="524"/>
      <c r="G1" s="524"/>
      <c r="H1" s="524"/>
      <c r="I1" s="524"/>
    </row>
    <row r="2" spans="1:9" x14ac:dyDescent="0.3">
      <c r="A2" s="524" t="s">
        <v>513</v>
      </c>
      <c r="B2" s="524"/>
      <c r="C2" s="524"/>
      <c r="D2" s="524"/>
      <c r="E2" s="524"/>
      <c r="F2" s="524"/>
      <c r="G2" s="524"/>
      <c r="H2" s="524"/>
      <c r="I2" s="524"/>
    </row>
    <row r="3" spans="1:9" ht="28" x14ac:dyDescent="0.3">
      <c r="A3" s="525"/>
      <c r="B3" s="526" t="s">
        <v>353</v>
      </c>
      <c r="C3" s="527" t="s">
        <v>354</v>
      </c>
      <c r="D3" s="528" t="s">
        <v>355</v>
      </c>
      <c r="E3" s="525"/>
      <c r="F3" s="524"/>
      <c r="G3" s="524" t="s">
        <v>343</v>
      </c>
      <c r="H3" s="524"/>
      <c r="I3" s="524"/>
    </row>
    <row r="4" spans="1:9" x14ac:dyDescent="0.3">
      <c r="A4" s="529" t="s">
        <v>347</v>
      </c>
      <c r="B4" s="530"/>
      <c r="C4" s="531"/>
      <c r="D4" s="532"/>
      <c r="E4" s="532"/>
      <c r="F4" s="524"/>
      <c r="G4" s="524"/>
      <c r="H4" s="524"/>
      <c r="I4" s="524"/>
    </row>
    <row r="5" spans="1:9" x14ac:dyDescent="0.3">
      <c r="A5" s="533"/>
      <c r="B5" s="534"/>
      <c r="C5" s="535"/>
      <c r="D5" s="533"/>
      <c r="E5" s="533"/>
      <c r="F5" s="524"/>
      <c r="G5" s="524"/>
      <c r="H5" s="524"/>
      <c r="I5" s="524"/>
    </row>
    <row r="6" spans="1:9" x14ac:dyDescent="0.3">
      <c r="A6" s="533" t="str">
        <f>Tulud50!A3</f>
        <v>Üüritulud</v>
      </c>
      <c r="B6" s="536">
        <f>Tulud50!G33</f>
        <v>10503.35</v>
      </c>
      <c r="C6" s="537">
        <f>Tulud75!H33</f>
        <v>161783.70000000001</v>
      </c>
      <c r="D6" s="521">
        <f>C6/$C$9</f>
        <v>0.8718711762106478</v>
      </c>
      <c r="E6" s="521"/>
      <c r="F6" s="522"/>
      <c r="G6" s="538">
        <f>C6/1000</f>
        <v>161.78370000000001</v>
      </c>
      <c r="H6" s="524"/>
      <c r="I6" s="524"/>
    </row>
    <row r="7" spans="1:9" x14ac:dyDescent="0.3">
      <c r="A7" s="539" t="str">
        <f>Tulud50!A35</f>
        <v>Arved üürnikele kommunaalkulude eest</v>
      </c>
      <c r="B7" s="536">
        <f>Tulud50!G47</f>
        <v>1813.4770219132067</v>
      </c>
      <c r="C7" s="537">
        <f>Tulud75!H47</f>
        <v>23775.479399815798</v>
      </c>
      <c r="D7" s="521">
        <f>C7/$C$9</f>
        <v>0.12812882378935225</v>
      </c>
      <c r="E7" s="521"/>
      <c r="F7" s="522"/>
      <c r="G7" s="524"/>
      <c r="H7" s="524"/>
      <c r="I7" s="524"/>
    </row>
    <row r="8" spans="1:9" x14ac:dyDescent="0.3">
      <c r="A8" s="533"/>
      <c r="B8" s="534"/>
      <c r="C8" s="535"/>
      <c r="D8" s="533"/>
      <c r="E8" s="533"/>
      <c r="F8" s="524"/>
      <c r="G8" s="524"/>
      <c r="H8" s="524"/>
      <c r="I8" s="524"/>
    </row>
    <row r="9" spans="1:9" x14ac:dyDescent="0.3">
      <c r="A9" s="540" t="s">
        <v>346</v>
      </c>
      <c r="B9" s="541">
        <f>SUM(B6:B8)</f>
        <v>12316.827021913206</v>
      </c>
      <c r="C9" s="542">
        <f>SUM(C6:C8)</f>
        <v>185559.1793998158</v>
      </c>
      <c r="D9" s="533"/>
      <c r="E9" s="533"/>
      <c r="F9" s="524"/>
      <c r="G9" s="538">
        <f>C9/1000</f>
        <v>185.5591793998158</v>
      </c>
      <c r="H9" s="524"/>
      <c r="I9" s="524"/>
    </row>
    <row r="10" spans="1:9" x14ac:dyDescent="0.3">
      <c r="A10" s="524"/>
      <c r="B10" s="524"/>
      <c r="C10" s="524"/>
      <c r="D10" s="524"/>
      <c r="E10" s="524"/>
      <c r="F10" s="524"/>
      <c r="G10" s="524"/>
      <c r="H10" s="524"/>
      <c r="I10" s="524"/>
    </row>
    <row r="11" spans="1:9" ht="48" customHeight="1" x14ac:dyDescent="0.3">
      <c r="A11" s="529" t="s">
        <v>348</v>
      </c>
      <c r="B11" s="530"/>
      <c r="C11" s="531"/>
      <c r="D11" s="543" t="s">
        <v>356</v>
      </c>
      <c r="E11" s="543" t="s">
        <v>357</v>
      </c>
      <c r="F11" s="544"/>
      <c r="G11" s="524"/>
      <c r="H11" s="524"/>
      <c r="I11" s="524"/>
    </row>
    <row r="12" spans="1:9" x14ac:dyDescent="0.3">
      <c r="A12" s="545"/>
      <c r="B12" s="534"/>
      <c r="C12" s="535"/>
      <c r="D12" s="533"/>
      <c r="E12" s="533"/>
      <c r="F12" s="524"/>
      <c r="G12" s="524"/>
      <c r="H12" s="524"/>
      <c r="I12" s="524"/>
    </row>
    <row r="13" spans="1:9" x14ac:dyDescent="0.3">
      <c r="A13" s="540" t="s">
        <v>349</v>
      </c>
      <c r="B13" s="534"/>
      <c r="C13" s="535"/>
      <c r="D13" s="533"/>
      <c r="E13" s="533"/>
      <c r="F13" s="524"/>
      <c r="G13" s="524"/>
      <c r="H13" s="524"/>
      <c r="I13" s="524"/>
    </row>
    <row r="14" spans="1:9" x14ac:dyDescent="0.3">
      <c r="A14" s="533" t="str">
        <f>Kulud50!A4</f>
        <v>Kommunaalteenused</v>
      </c>
      <c r="B14" s="536">
        <f>C14/12</f>
        <v>694.62030183333343</v>
      </c>
      <c r="C14" s="537">
        <f>Kulud75!E4</f>
        <v>8335.4436220000007</v>
      </c>
      <c r="D14" s="521">
        <f>C14/$C$35</f>
        <v>2.8827011863125231E-2</v>
      </c>
      <c r="E14" s="521">
        <f>C14/$C$25</f>
        <v>5.4153279201668271E-2</v>
      </c>
      <c r="F14" s="522"/>
      <c r="G14" s="524"/>
      <c r="H14" s="524"/>
      <c r="I14" s="524"/>
    </row>
    <row r="15" spans="1:9" x14ac:dyDescent="0.3">
      <c r="A15" s="533" t="str">
        <f>Kulud50!A25</f>
        <v>Personalikulud</v>
      </c>
      <c r="B15" s="536">
        <f t="shared" ref="B15:B23" si="0">C15/12</f>
        <v>5655.7259999999997</v>
      </c>
      <c r="C15" s="537">
        <f>Kulud75!E25</f>
        <v>67868.712</v>
      </c>
      <c r="D15" s="521">
        <f t="shared" ref="D15:D25" si="1">C15/$C$35</f>
        <v>0.23471482199163385</v>
      </c>
      <c r="E15" s="521">
        <f t="shared" ref="E15:E25" si="2">C15/$C$25</f>
        <v>0.44092593947768333</v>
      </c>
      <c r="F15" s="522"/>
      <c r="G15" s="524"/>
      <c r="H15" s="524"/>
      <c r="I15" s="524"/>
    </row>
    <row r="16" spans="1:9" x14ac:dyDescent="0.3">
      <c r="A16" s="533" t="str">
        <f>Kulud50!A29</f>
        <v>Remonditööd</v>
      </c>
      <c r="B16" s="536">
        <f t="shared" si="0"/>
        <v>450</v>
      </c>
      <c r="C16" s="537">
        <f>Kulud75!E29</f>
        <v>5400</v>
      </c>
      <c r="D16" s="521">
        <f t="shared" si="1"/>
        <v>1.8675174486217194E-2</v>
      </c>
      <c r="E16" s="521">
        <f t="shared" si="2"/>
        <v>3.5082440833406267E-2</v>
      </c>
      <c r="F16" s="522"/>
      <c r="G16" s="524"/>
      <c r="H16" s="524"/>
      <c r="I16" s="524"/>
    </row>
    <row r="17" spans="1:9" x14ac:dyDescent="0.3">
      <c r="A17" s="533" t="str">
        <f>Kulud50!A31</f>
        <v>Tehnohooldus</v>
      </c>
      <c r="B17" s="536">
        <f t="shared" si="0"/>
        <v>700</v>
      </c>
      <c r="C17" s="537">
        <f>Kulud75!E31</f>
        <v>8400</v>
      </c>
      <c r="D17" s="521">
        <f t="shared" si="1"/>
        <v>2.9050271423004523E-2</v>
      </c>
      <c r="E17" s="521">
        <f t="shared" si="2"/>
        <v>5.4572685740854193E-2</v>
      </c>
      <c r="F17" s="522"/>
      <c r="G17" s="524"/>
      <c r="H17" s="524"/>
      <c r="I17" s="524"/>
    </row>
    <row r="18" spans="1:9" x14ac:dyDescent="0.3">
      <c r="A18" s="533" t="str">
        <f>Kulud50!A36</f>
        <v>Turundus</v>
      </c>
      <c r="B18" s="536">
        <f t="shared" si="0"/>
        <v>3000</v>
      </c>
      <c r="C18" s="537">
        <f>Kulud75!E36</f>
        <v>36000</v>
      </c>
      <c r="D18" s="521">
        <f t="shared" si="1"/>
        <v>0.12450116324144796</v>
      </c>
      <c r="E18" s="521">
        <f t="shared" si="2"/>
        <v>0.23388293888937511</v>
      </c>
      <c r="F18" s="522"/>
      <c r="G18" s="524"/>
      <c r="H18" s="524"/>
      <c r="I18" s="524"/>
    </row>
    <row r="19" spans="1:9" x14ac:dyDescent="0.3">
      <c r="A19" s="533" t="str">
        <f>Kulud50!A43</f>
        <v>Hooldus (hooned)</v>
      </c>
      <c r="B19" s="536">
        <f t="shared" si="0"/>
        <v>760</v>
      </c>
      <c r="C19" s="537">
        <f>Kulud75!E43</f>
        <v>9120</v>
      </c>
      <c r="D19" s="521">
        <f t="shared" si="1"/>
        <v>3.1540294687833481E-2</v>
      </c>
      <c r="E19" s="521">
        <f t="shared" si="2"/>
        <v>5.9250344518641695E-2</v>
      </c>
      <c r="F19" s="522"/>
      <c r="G19" s="524"/>
      <c r="H19" s="524"/>
      <c r="I19" s="524"/>
    </row>
    <row r="20" spans="1:9" x14ac:dyDescent="0.3">
      <c r="A20" s="533" t="str">
        <f>Kulud50!A48</f>
        <v>Hooldus (territoorium)</v>
      </c>
      <c r="B20" s="536">
        <f t="shared" si="0"/>
        <v>538.91666666666663</v>
      </c>
      <c r="C20" s="537">
        <f>Kulud75!E48</f>
        <v>6467</v>
      </c>
      <c r="D20" s="521">
        <f t="shared" si="1"/>
        <v>2.2365250630067886E-2</v>
      </c>
      <c r="E20" s="521">
        <f t="shared" si="2"/>
        <v>4.2014471272155247E-2</v>
      </c>
      <c r="F20" s="522"/>
      <c r="G20" s="524"/>
      <c r="H20" s="524"/>
      <c r="I20" s="524"/>
    </row>
    <row r="21" spans="1:9" x14ac:dyDescent="0.3">
      <c r="A21" s="533" t="str">
        <f>Kulud50!A54</f>
        <v>Valve</v>
      </c>
      <c r="B21" s="536">
        <f t="shared" si="0"/>
        <v>400</v>
      </c>
      <c r="C21" s="537">
        <f>Kulud75!E54</f>
        <v>4800</v>
      </c>
      <c r="D21" s="521">
        <f t="shared" si="1"/>
        <v>1.6600155098859728E-2</v>
      </c>
      <c r="E21" s="521">
        <f t="shared" si="2"/>
        <v>3.1184391851916682E-2</v>
      </c>
      <c r="F21" s="522"/>
      <c r="G21" s="524"/>
      <c r="H21" s="524"/>
      <c r="I21" s="524"/>
    </row>
    <row r="22" spans="1:9" x14ac:dyDescent="0.3">
      <c r="A22" s="533" t="str">
        <f>Kulud50!A55</f>
        <v>Kindlustus</v>
      </c>
      <c r="B22" s="536">
        <f t="shared" si="0"/>
        <v>272.66666666666669</v>
      </c>
      <c r="C22" s="537">
        <f>Kulud75!E55</f>
        <v>3272</v>
      </c>
      <c r="D22" s="521">
        <f t="shared" si="1"/>
        <v>1.1315772392389381E-2</v>
      </c>
      <c r="E22" s="521">
        <f t="shared" si="2"/>
        <v>2.1257360445723204E-2</v>
      </c>
      <c r="F22" s="522"/>
      <c r="G22" s="524"/>
      <c r="H22" s="524"/>
      <c r="I22" s="524"/>
    </row>
    <row r="23" spans="1:9" x14ac:dyDescent="0.3">
      <c r="A23" s="533" t="str">
        <f>Kulud50!A56</f>
        <v>Muu</v>
      </c>
      <c r="B23" s="536">
        <f t="shared" si="0"/>
        <v>355</v>
      </c>
      <c r="C23" s="537">
        <f>Kulud75!E56</f>
        <v>4260</v>
      </c>
      <c r="D23" s="521">
        <f t="shared" si="1"/>
        <v>1.4732637650238009E-2</v>
      </c>
      <c r="E23" s="521">
        <f t="shared" si="2"/>
        <v>2.7676147768576055E-2</v>
      </c>
      <c r="F23" s="522"/>
      <c r="G23" s="524"/>
      <c r="H23" s="524"/>
      <c r="I23" s="524"/>
    </row>
    <row r="24" spans="1:9" x14ac:dyDescent="0.3">
      <c r="A24" s="533"/>
      <c r="B24" s="536"/>
      <c r="C24" s="537"/>
      <c r="D24" s="533"/>
      <c r="E24" s="533"/>
      <c r="F24" s="524"/>
      <c r="G24" s="524"/>
      <c r="H24" s="524"/>
      <c r="I24" s="524"/>
    </row>
    <row r="25" spans="1:9" x14ac:dyDescent="0.3">
      <c r="A25" s="540" t="s">
        <v>350</v>
      </c>
      <c r="B25" s="541">
        <f>SUM(B14:B24)</f>
        <v>12826.929635166665</v>
      </c>
      <c r="C25" s="542">
        <f>SUM(C14:C24)</f>
        <v>153923.15562199999</v>
      </c>
      <c r="D25" s="521">
        <f t="shared" si="1"/>
        <v>0.53232255346481716</v>
      </c>
      <c r="E25" s="521">
        <f t="shared" si="2"/>
        <v>1</v>
      </c>
      <c r="F25" s="522"/>
      <c r="G25" s="524"/>
      <c r="H25" s="524"/>
      <c r="I25" s="524"/>
    </row>
    <row r="26" spans="1:9" x14ac:dyDescent="0.3">
      <c r="A26" s="524"/>
      <c r="B26" s="546"/>
      <c r="C26" s="546"/>
      <c r="D26" s="524"/>
      <c r="E26" s="524"/>
      <c r="F26" s="524"/>
      <c r="G26" s="524"/>
      <c r="H26" s="524"/>
      <c r="I26" s="524"/>
    </row>
    <row r="27" spans="1:9" x14ac:dyDescent="0.3">
      <c r="A27" s="547" t="s">
        <v>302</v>
      </c>
      <c r="B27" s="548">
        <f>B9-B25</f>
        <v>-510.10261325345891</v>
      </c>
      <c r="C27" s="549">
        <f>C9-C25</f>
        <v>31636.023777815804</v>
      </c>
      <c r="D27" s="550"/>
      <c r="E27" s="550"/>
      <c r="F27" s="551"/>
      <c r="G27" s="538">
        <f>C27/1000</f>
        <v>31.636023777815804</v>
      </c>
      <c r="H27" s="524"/>
      <c r="I27" s="524"/>
    </row>
    <row r="28" spans="1:9" x14ac:dyDescent="0.3">
      <c r="A28" s="533"/>
      <c r="B28" s="536"/>
      <c r="C28" s="537"/>
      <c r="D28" s="533"/>
      <c r="E28" s="533"/>
      <c r="F28" s="524"/>
      <c r="G28" s="524"/>
      <c r="H28" s="524"/>
      <c r="I28" s="524"/>
    </row>
    <row r="29" spans="1:9" x14ac:dyDescent="0.3">
      <c r="A29" s="533" t="str">
        <f>Kulud50!A64</f>
        <v>Amortisatsioon</v>
      </c>
      <c r="B29" s="536">
        <f>SUM(B30:B33)</f>
        <v>11269.23076923077</v>
      </c>
      <c r="C29" s="537">
        <f>SUM(C30:C33)</f>
        <v>135230.76923076922</v>
      </c>
      <c r="D29" s="521">
        <f t="shared" ref="D29:D33" si="3">C29/$C$35</f>
        <v>0.46767744653518267</v>
      </c>
      <c r="E29" s="521"/>
      <c r="F29" s="522"/>
      <c r="G29" s="524"/>
      <c r="H29" s="524"/>
      <c r="I29" s="524"/>
    </row>
    <row r="30" spans="1:9" x14ac:dyDescent="0.3">
      <c r="A30" s="552" t="s">
        <v>328</v>
      </c>
      <c r="B30" s="536">
        <f>C30/12</f>
        <v>10500</v>
      </c>
      <c r="C30" s="537">
        <f>Kulud75!E65</f>
        <v>126000</v>
      </c>
      <c r="D30" s="521">
        <f t="shared" si="3"/>
        <v>0.43575407134506788</v>
      </c>
      <c r="E30" s="533"/>
      <c r="F30" s="524"/>
      <c r="G30" s="524"/>
      <c r="H30" s="524"/>
      <c r="I30" s="524"/>
    </row>
    <row r="31" spans="1:9" x14ac:dyDescent="0.3">
      <c r="A31" s="552" t="s">
        <v>329</v>
      </c>
      <c r="B31" s="536">
        <f>C31/12</f>
        <v>769.23076923076917</v>
      </c>
      <c r="C31" s="537">
        <f>Kulud75!E66</f>
        <v>9230.7692307692305</v>
      </c>
      <c r="D31" s="521">
        <f t="shared" si="3"/>
        <v>3.1923375190114858E-2</v>
      </c>
      <c r="E31" s="533"/>
      <c r="F31" s="524"/>
      <c r="G31" s="524"/>
      <c r="H31" s="524"/>
      <c r="I31" s="524"/>
    </row>
    <row r="32" spans="1:9" hidden="1" x14ac:dyDescent="0.3">
      <c r="A32" s="552">
        <f>Kulud50!A67</f>
        <v>0</v>
      </c>
      <c r="B32" s="536">
        <f>C32/12</f>
        <v>0</v>
      </c>
      <c r="C32" s="537">
        <f>Kulud75!E67</f>
        <v>0</v>
      </c>
      <c r="D32" s="521">
        <f t="shared" si="3"/>
        <v>0</v>
      </c>
      <c r="E32" s="533"/>
      <c r="F32" s="524"/>
      <c r="G32" s="524"/>
      <c r="H32" s="524"/>
      <c r="I32" s="524"/>
    </row>
    <row r="33" spans="1:9" hidden="1" x14ac:dyDescent="0.3">
      <c r="A33" s="552">
        <f>Kulud50!A68</f>
        <v>0</v>
      </c>
      <c r="B33" s="536">
        <f>C33/12</f>
        <v>0</v>
      </c>
      <c r="C33" s="537">
        <f>Kulud75!E68</f>
        <v>0</v>
      </c>
      <c r="D33" s="521">
        <f t="shared" si="3"/>
        <v>0</v>
      </c>
      <c r="E33" s="533"/>
      <c r="F33" s="524"/>
      <c r="G33" s="524"/>
      <c r="H33" s="524"/>
      <c r="I33" s="524"/>
    </row>
    <row r="34" spans="1:9" x14ac:dyDescent="0.3">
      <c r="A34" s="533"/>
      <c r="B34" s="534"/>
      <c r="C34" s="535"/>
      <c r="D34" s="533"/>
      <c r="E34" s="533"/>
      <c r="F34" s="524"/>
      <c r="G34" s="524"/>
      <c r="H34" s="524"/>
      <c r="I34" s="524"/>
    </row>
    <row r="35" spans="1:9" x14ac:dyDescent="0.3">
      <c r="A35" s="540" t="s">
        <v>351</v>
      </c>
      <c r="B35" s="541">
        <f>B25+B29</f>
        <v>24096.160404397437</v>
      </c>
      <c r="C35" s="542">
        <f>C25+C29</f>
        <v>289153.92485276924</v>
      </c>
      <c r="D35" s="521">
        <f t="shared" ref="D35" si="4">C35/$C$35</f>
        <v>1</v>
      </c>
      <c r="E35" s="521"/>
      <c r="F35" s="522"/>
      <c r="G35" s="538">
        <f>C35/1000</f>
        <v>289.15392485276925</v>
      </c>
      <c r="H35" s="524"/>
      <c r="I35" s="524"/>
    </row>
    <row r="36" spans="1:9" x14ac:dyDescent="0.3">
      <c r="A36" s="524"/>
      <c r="B36" s="524"/>
      <c r="C36" s="524"/>
      <c r="D36" s="524"/>
      <c r="E36" s="524"/>
      <c r="F36" s="524"/>
      <c r="G36" s="524"/>
      <c r="H36" s="524"/>
      <c r="I36" s="524"/>
    </row>
    <row r="37" spans="1:9" hidden="1" x14ac:dyDescent="0.3">
      <c r="A37" s="524"/>
      <c r="B37" s="524"/>
      <c r="C37" s="524"/>
      <c r="D37" s="524"/>
      <c r="E37" s="524"/>
      <c r="F37" s="524"/>
      <c r="G37" s="524"/>
      <c r="H37" s="524"/>
      <c r="I37" s="524"/>
    </row>
    <row r="38" spans="1:9" x14ac:dyDescent="0.3">
      <c r="A38" s="553" t="s">
        <v>352</v>
      </c>
      <c r="B38" s="554">
        <f>B9-B35</f>
        <v>-11779.33338248423</v>
      </c>
      <c r="C38" s="555">
        <f>C9-C35</f>
        <v>-103594.74545295344</v>
      </c>
      <c r="D38" s="556"/>
      <c r="E38" s="555"/>
      <c r="F38" s="551"/>
      <c r="G38" s="538">
        <f>C38/1000</f>
        <v>-103.59474545295345</v>
      </c>
      <c r="H38" s="524"/>
      <c r="I38" s="524"/>
    </row>
    <row r="39" spans="1:9" x14ac:dyDescent="0.3">
      <c r="A39" s="557"/>
      <c r="B39" s="558"/>
      <c r="C39" s="559"/>
      <c r="D39" s="560"/>
      <c r="E39" s="559"/>
      <c r="F39" s="551"/>
      <c r="G39" s="524"/>
      <c r="H39" s="524"/>
      <c r="I39" s="524"/>
    </row>
    <row r="40" spans="1:9" x14ac:dyDescent="0.3">
      <c r="A40" s="523"/>
      <c r="B40" s="551"/>
      <c r="C40" s="551"/>
      <c r="D40" s="551"/>
      <c r="E40" s="551"/>
      <c r="F40" s="551"/>
      <c r="G40" s="524"/>
      <c r="H40" s="524"/>
      <c r="I40" s="524"/>
    </row>
    <row r="41" spans="1:9" x14ac:dyDescent="0.3">
      <c r="A41" s="524"/>
      <c r="B41" s="524"/>
      <c r="C41" s="524"/>
      <c r="D41" s="524"/>
      <c r="E41" s="524"/>
      <c r="F41" s="524"/>
      <c r="G41" s="524"/>
      <c r="H41" s="524"/>
      <c r="I41" s="524"/>
    </row>
    <row r="42" spans="1:9" x14ac:dyDescent="0.3">
      <c r="A42" s="561"/>
      <c r="B42" s="546"/>
      <c r="C42" s="546"/>
      <c r="D42" s="524"/>
      <c r="E42" s="524"/>
      <c r="F42" s="524"/>
      <c r="G42" s="524"/>
      <c r="H42" s="524"/>
      <c r="I42" s="524"/>
    </row>
    <row r="43" spans="1:9" x14ac:dyDescent="0.3">
      <c r="A43" s="561"/>
      <c r="B43" s="546"/>
      <c r="C43" s="546"/>
      <c r="D43" s="524"/>
      <c r="E43" s="524"/>
      <c r="F43" s="524"/>
      <c r="G43" s="524"/>
      <c r="H43" s="524"/>
      <c r="I43" s="524"/>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M39"/>
  <sheetViews>
    <sheetView topLeftCell="A4" workbookViewId="0">
      <selection activeCell="F9" sqref="F8:F9"/>
    </sheetView>
  </sheetViews>
  <sheetFormatPr defaultColWidth="9.1796875" defaultRowHeight="14" x14ac:dyDescent="0.3"/>
  <cols>
    <col min="1" max="1" width="24.81640625" style="524" customWidth="1"/>
    <col min="2" max="2" width="9.7265625" style="524" customWidth="1"/>
    <col min="3" max="3" width="10.54296875" style="524" customWidth="1"/>
    <col min="4" max="16384" width="9.1796875" style="524"/>
  </cols>
  <sheetData>
    <row r="2" spans="1:9" x14ac:dyDescent="0.3">
      <c r="A2" s="885" t="str">
        <f>'Sots.majanduslik moju'!B71</f>
        <v>Näitaja</v>
      </c>
      <c r="B2" s="885"/>
      <c r="C2" s="885" t="str">
        <f>'Sots.majanduslik moju'!D71</f>
        <v>Tähendus</v>
      </c>
      <c r="D2" s="885"/>
    </row>
    <row r="3" spans="1:9" x14ac:dyDescent="0.3">
      <c r="A3" s="885"/>
      <c r="B3" s="885"/>
      <c r="C3" s="885"/>
      <c r="D3" s="885"/>
    </row>
    <row r="4" spans="1:9" ht="23.25" customHeight="1" x14ac:dyDescent="0.3">
      <c r="A4" s="871" t="str">
        <f>'Sots.majanduslik moju'!B73</f>
        <v>NPV</v>
      </c>
      <c r="B4" s="871"/>
      <c r="C4" s="624">
        <f>'Sots.majanduslik moju'!D73/1000000</f>
        <v>59.581405476987094</v>
      </c>
      <c r="D4" s="535" t="str">
        <f>'Sots.majanduslik moju'!E73</f>
        <v>mln eurot</v>
      </c>
    </row>
    <row r="5" spans="1:9" ht="15.5" x14ac:dyDescent="0.35">
      <c r="A5" s="871" t="str">
        <f>'Sots.majanduslik moju'!B74</f>
        <v>PI</v>
      </c>
      <c r="B5" s="871"/>
      <c r="C5" s="625">
        <f>'Sots.majanduslik moju'!D74</f>
        <v>19.95345055525436</v>
      </c>
      <c r="D5" s="535" t="s">
        <v>359</v>
      </c>
      <c r="E5" s="596"/>
      <c r="F5" s="402"/>
      <c r="H5" s="538"/>
      <c r="I5" s="690">
        <f>C6/4%</f>
        <v>12.752769668377178</v>
      </c>
    </row>
    <row r="6" spans="1:9" ht="15.5" x14ac:dyDescent="0.35">
      <c r="A6" s="871" t="str">
        <f>'Sots.majanduslik moju'!B75</f>
        <v>IRR</v>
      </c>
      <c r="B6" s="871"/>
      <c r="C6" s="626">
        <f>'Sots.majanduslik moju'!D75</f>
        <v>0.51011078673508714</v>
      </c>
      <c r="D6" s="535"/>
      <c r="E6" s="597"/>
      <c r="F6" s="402"/>
    </row>
    <row r="7" spans="1:9" ht="15.5" x14ac:dyDescent="0.35">
      <c r="A7" s="871" t="str">
        <f>'Sots.majanduslik moju'!B76</f>
        <v>DPP</v>
      </c>
      <c r="B7" s="871"/>
      <c r="C7" s="534">
        <f>'Sots.majanduslik moju'!D76</f>
        <v>4</v>
      </c>
      <c r="D7" s="535" t="str">
        <f>'Sots.majanduslik moju'!E76</f>
        <v>aasta</v>
      </c>
      <c r="E7" s="598"/>
      <c r="F7" s="402"/>
    </row>
    <row r="8" spans="1:9" ht="15.5" x14ac:dyDescent="0.35">
      <c r="C8" s="599"/>
      <c r="D8" s="402"/>
      <c r="E8" s="599"/>
      <c r="F8" s="402"/>
    </row>
    <row r="12" spans="1:9" ht="33.75" customHeight="1" x14ac:dyDescent="0.3">
      <c r="A12" s="593"/>
      <c r="B12" s="593"/>
      <c r="C12" s="884" t="s">
        <v>340</v>
      </c>
      <c r="D12" s="884"/>
      <c r="E12" s="884"/>
      <c r="F12" s="884"/>
      <c r="G12" s="884"/>
      <c r="H12" s="884"/>
    </row>
    <row r="13" spans="1:9" ht="23.25" customHeight="1" x14ac:dyDescent="0.3">
      <c r="A13" s="594"/>
      <c r="B13" s="595"/>
      <c r="C13" s="882" t="s">
        <v>330</v>
      </c>
      <c r="D13" s="883"/>
      <c r="E13" s="882" t="s">
        <v>331</v>
      </c>
      <c r="F13" s="883"/>
      <c r="G13" s="882" t="s">
        <v>494</v>
      </c>
      <c r="H13" s="883"/>
    </row>
    <row r="14" spans="1:9" ht="15.5" x14ac:dyDescent="0.3">
      <c r="A14" s="874" t="s">
        <v>332</v>
      </c>
      <c r="B14" s="874"/>
      <c r="C14" s="875">
        <f>'Sots.majanduslik moju'!W36</f>
        <v>140.48400000000001</v>
      </c>
      <c r="D14" s="876"/>
      <c r="E14" s="880">
        <f>'Sots.majanduslik moju'!X36</f>
        <v>382.53600000000006</v>
      </c>
      <c r="F14" s="881"/>
      <c r="G14" s="880">
        <f>'Sots.majanduslik moju'!Y36</f>
        <v>688.61999999999989</v>
      </c>
      <c r="H14" s="881"/>
    </row>
    <row r="15" spans="1:9" ht="34.5" customHeight="1" x14ac:dyDescent="0.3">
      <c r="A15" s="874" t="s">
        <v>333</v>
      </c>
      <c r="B15" s="874"/>
      <c r="C15" s="882"/>
      <c r="D15" s="883"/>
      <c r="E15" s="882"/>
      <c r="F15" s="883"/>
      <c r="G15" s="882"/>
      <c r="H15" s="883"/>
    </row>
    <row r="16" spans="1:9" ht="15.5" x14ac:dyDescent="0.3">
      <c r="A16" s="877" t="s">
        <v>334</v>
      </c>
      <c r="B16" s="877"/>
      <c r="C16" s="878">
        <f>'Sots.majanduslik moju'!W31/1000000</f>
        <v>2.3994122128703999</v>
      </c>
      <c r="D16" s="879"/>
      <c r="E16" s="878">
        <f>('Sots.majanduslik moju'!X31)/1000000</f>
        <v>16.306589945018882</v>
      </c>
      <c r="F16" s="879">
        <v>0</v>
      </c>
      <c r="G16" s="878">
        <f>('Sots.majanduslik moju'!Y31)/1000000</f>
        <v>36.815572801463048</v>
      </c>
      <c r="H16" s="879">
        <v>0</v>
      </c>
    </row>
    <row r="17" spans="1:9" ht="15.5" x14ac:dyDescent="0.3">
      <c r="A17" s="877" t="s">
        <v>335</v>
      </c>
      <c r="B17" s="877"/>
      <c r="C17" s="878">
        <f>('Sots.majanduslik moju'!W32)/1000000</f>
        <v>1.0638187222924798</v>
      </c>
      <c r="D17" s="879">
        <v>0</v>
      </c>
      <c r="E17" s="878">
        <f>('Sots.majanduslik moju'!X32)/1000000</f>
        <v>8.0181001935682552</v>
      </c>
      <c r="F17" s="879">
        <v>0</v>
      </c>
      <c r="G17" s="878">
        <f>('Sots.majanduslik moju'!Y32)/1000000</f>
        <v>18.760134087560445</v>
      </c>
      <c r="H17" s="879">
        <v>0</v>
      </c>
    </row>
    <row r="18" spans="1:9" ht="15.5" x14ac:dyDescent="0.3">
      <c r="A18" s="877" t="s">
        <v>336</v>
      </c>
      <c r="B18" s="877"/>
      <c r="C18" s="878">
        <f>('Sots.majanduslik moju'!W34)/1000000</f>
        <v>2.6315293033966607</v>
      </c>
      <c r="D18" s="879">
        <v>0</v>
      </c>
      <c r="E18" s="878">
        <f>('Sots.majanduslik moju'!X34)/1000000</f>
        <v>14.690295451928613</v>
      </c>
      <c r="F18" s="879">
        <v>0</v>
      </c>
      <c r="G18" s="878">
        <f>('Sots.majanduslik moju'!Y34)/1000000</f>
        <v>31.27953329495298</v>
      </c>
      <c r="H18" s="879">
        <v>0</v>
      </c>
    </row>
    <row r="19" spans="1:9" ht="31.5" customHeight="1" x14ac:dyDescent="0.3">
      <c r="A19" s="877" t="s">
        <v>337</v>
      </c>
      <c r="B19" s="877"/>
      <c r="C19" s="878">
        <f>('Sots.majanduslik moju'!W33)/1000000</f>
        <v>0.56176629156910074</v>
      </c>
      <c r="D19" s="879">
        <v>0</v>
      </c>
      <c r="E19" s="878">
        <f>('Sots.majanduslik moju'!X33)/1000000</f>
        <v>4.2190861380536786</v>
      </c>
      <c r="F19" s="879">
        <v>0</v>
      </c>
      <c r="G19" s="878">
        <f>('Sots.majanduslik moju'!Y33)/1000000</f>
        <v>9.8684194177577531</v>
      </c>
      <c r="H19" s="879">
        <v>0</v>
      </c>
    </row>
    <row r="20" spans="1:9" ht="33.75" customHeight="1" x14ac:dyDescent="0.3">
      <c r="A20" s="874" t="s">
        <v>341</v>
      </c>
      <c r="B20" s="874"/>
      <c r="C20" s="875">
        <f>('Sots.majanduslik moju'!W45)/1000000</f>
        <v>32.76</v>
      </c>
      <c r="D20" s="876">
        <v>0</v>
      </c>
      <c r="E20" s="875">
        <f>('Sots.majanduslik moju'!X45)/1000000</f>
        <v>182.88</v>
      </c>
      <c r="F20" s="876">
        <v>0</v>
      </c>
      <c r="G20" s="875">
        <f>('Sots.majanduslik moju'!Y45)/1000000</f>
        <v>389.4</v>
      </c>
      <c r="H20" s="876">
        <v>0</v>
      </c>
    </row>
    <row r="21" spans="1:9" ht="24" customHeight="1" x14ac:dyDescent="0.3">
      <c r="A21" s="874" t="s">
        <v>338</v>
      </c>
      <c r="B21" s="874"/>
      <c r="C21" s="875">
        <f>('Sots.majanduslik moju'!W46)/1000000</f>
        <v>20.411999999999999</v>
      </c>
      <c r="D21" s="876">
        <v>0</v>
      </c>
      <c r="E21" s="875">
        <f>('Sots.majanduslik moju'!X46)/1000000</f>
        <v>139.15199999999999</v>
      </c>
      <c r="F21" s="876">
        <v>0</v>
      </c>
      <c r="G21" s="875">
        <f>('Sots.majanduslik moju'!Y46)/1000000</f>
        <v>314.22000000000003</v>
      </c>
      <c r="H21" s="876">
        <v>0</v>
      </c>
    </row>
    <row r="22" spans="1:9" ht="20.25" customHeight="1" x14ac:dyDescent="0.3">
      <c r="A22" s="874" t="s">
        <v>339</v>
      </c>
      <c r="B22" s="874"/>
      <c r="C22" s="875">
        <f>('Sots.majanduslik moju'!W47)/1000000</f>
        <v>11.961496833621185</v>
      </c>
      <c r="D22" s="876">
        <v>0</v>
      </c>
      <c r="E22" s="875">
        <f>('Sots.majanduslik moju'!X47)/1000000</f>
        <v>66.774070236039151</v>
      </c>
      <c r="F22" s="876">
        <v>0</v>
      </c>
      <c r="G22" s="875">
        <f>('Sots.majanduslik moju'!Y47)/1000000</f>
        <v>142.17969679524083</v>
      </c>
      <c r="H22" s="876">
        <v>0</v>
      </c>
    </row>
    <row r="27" spans="1:9" ht="33.75" customHeight="1" x14ac:dyDescent="0.3">
      <c r="A27" s="727" t="s">
        <v>515</v>
      </c>
      <c r="B27" s="725" t="s">
        <v>510</v>
      </c>
      <c r="C27" s="725" t="s">
        <v>511</v>
      </c>
      <c r="D27" s="725" t="s">
        <v>512</v>
      </c>
    </row>
    <row r="28" spans="1:9" x14ac:dyDescent="0.3">
      <c r="A28" s="727" t="s">
        <v>516</v>
      </c>
      <c r="B28" s="726">
        <f>Tulud25!N34</f>
        <v>0.72840307840307839</v>
      </c>
      <c r="C28" s="726">
        <f>Tulud50!N34</f>
        <v>0.79562289562289568</v>
      </c>
      <c r="D28" s="726">
        <f>Tulud75!N34</f>
        <v>0.86284271284271274</v>
      </c>
    </row>
    <row r="30" spans="1:9" ht="15.5" x14ac:dyDescent="0.3">
      <c r="D30" s="872"/>
      <c r="E30" s="873"/>
      <c r="F30" s="873"/>
      <c r="G30" s="873"/>
      <c r="H30" s="873"/>
      <c r="I30" s="873"/>
    </row>
    <row r="33" spans="1:13" ht="20.25" customHeight="1" x14ac:dyDescent="0.3">
      <c r="A33" s="871"/>
      <c r="B33" s="871"/>
      <c r="C33" s="871"/>
      <c r="D33" s="871" t="s">
        <v>517</v>
      </c>
      <c r="E33" s="871"/>
      <c r="F33" s="871"/>
      <c r="G33" s="871"/>
      <c r="H33" s="871"/>
      <c r="I33" s="871"/>
    </row>
    <row r="34" spans="1:13" ht="16.5" customHeight="1" x14ac:dyDescent="0.3">
      <c r="A34" s="871"/>
      <c r="B34" s="871"/>
      <c r="C34" s="871"/>
      <c r="D34" s="871" t="s">
        <v>519</v>
      </c>
      <c r="E34" s="871"/>
      <c r="F34" s="871" t="s">
        <v>520</v>
      </c>
      <c r="G34" s="871"/>
      <c r="H34" s="871" t="s">
        <v>521</v>
      </c>
      <c r="I34" s="871"/>
    </row>
    <row r="35" spans="1:13" ht="15.5" x14ac:dyDescent="0.3">
      <c r="A35" s="871"/>
      <c r="B35" s="871"/>
      <c r="C35" s="871"/>
      <c r="D35" s="869">
        <f>B28</f>
        <v>0.72840307840307839</v>
      </c>
      <c r="E35" s="869"/>
      <c r="F35" s="869">
        <f>C28</f>
        <v>0.79562289562289568</v>
      </c>
      <c r="G35" s="869"/>
      <c r="H35" s="869">
        <f>D28</f>
        <v>0.86284271284271274</v>
      </c>
      <c r="I35" s="869"/>
    </row>
    <row r="36" spans="1:13" ht="15.5" x14ac:dyDescent="0.3">
      <c r="A36" s="870" t="s">
        <v>518</v>
      </c>
      <c r="B36" s="870"/>
      <c r="C36" s="870"/>
      <c r="D36" s="868">
        <f>'2. Tulud-kulud projektiga'!G53</f>
        <v>110071.96264159701</v>
      </c>
      <c r="E36" s="868"/>
      <c r="F36" s="868">
        <f>'2. Tulud-kulud projektiga'!K53</f>
        <v>147801.92426295846</v>
      </c>
      <c r="G36" s="868"/>
      <c r="H36" s="868">
        <f>'2. Tulud-kulud projektiga'!O53</f>
        <v>185559.1793998158</v>
      </c>
      <c r="I36" s="868"/>
      <c r="K36" s="546">
        <f>Tulud25!H33</f>
        <v>90296.7</v>
      </c>
      <c r="L36" s="546">
        <f>Tulud50!H33</f>
        <v>126040.2</v>
      </c>
      <c r="M36" s="546">
        <f>Tulud75!H33</f>
        <v>161783.70000000001</v>
      </c>
    </row>
    <row r="37" spans="1:13" ht="32.25" customHeight="1" x14ac:dyDescent="0.3">
      <c r="A37" s="870" t="s">
        <v>522</v>
      </c>
      <c r="B37" s="870"/>
      <c r="C37" s="870"/>
      <c r="D37" s="868">
        <f>'2. Tulud-kulud projektiga'!G118</f>
        <v>153400.93111400001</v>
      </c>
      <c r="E37" s="868"/>
      <c r="F37" s="868">
        <f>'2. Tulud-kulud projektiga'!K118</f>
        <v>153610.04336800001</v>
      </c>
      <c r="G37" s="868"/>
      <c r="H37" s="868">
        <f>'2. Tulud-kulud projektiga'!O118</f>
        <v>153923.15562199999</v>
      </c>
      <c r="I37" s="868"/>
      <c r="K37" s="731">
        <f>K36/D36</f>
        <v>0.82034241811434916</v>
      </c>
      <c r="L37" s="731">
        <f>L36/F36</f>
        <v>0.85276426967052488</v>
      </c>
      <c r="M37" s="731">
        <f>M36/H36</f>
        <v>0.8718711762106478</v>
      </c>
    </row>
    <row r="38" spans="1:13" ht="15.5" x14ac:dyDescent="0.3">
      <c r="A38" s="870" t="s">
        <v>523</v>
      </c>
      <c r="B38" s="870"/>
      <c r="C38" s="870"/>
      <c r="D38" s="868">
        <f>D36-D37</f>
        <v>-43328.968472402994</v>
      </c>
      <c r="E38" s="868"/>
      <c r="F38" s="868">
        <f t="shared" ref="F38" si="0">F36-F37</f>
        <v>-5808.1191050415509</v>
      </c>
      <c r="G38" s="868"/>
      <c r="H38" s="868">
        <f t="shared" ref="H38" si="1">H36-H37</f>
        <v>31636.023777815804</v>
      </c>
      <c r="I38" s="868"/>
    </row>
    <row r="39" spans="1:13" ht="15.5" x14ac:dyDescent="0.3">
      <c r="A39" s="870" t="s">
        <v>524</v>
      </c>
      <c r="B39" s="870"/>
      <c r="C39" s="870"/>
      <c r="D39" s="868">
        <f>D38-Kulud25!E69</f>
        <v>-178559.7377031722</v>
      </c>
      <c r="E39" s="868"/>
      <c r="F39" s="868">
        <f>F38-Kulud50!E69</f>
        <v>-141038.88833581077</v>
      </c>
      <c r="G39" s="868"/>
      <c r="H39" s="868">
        <f>H38-Kulud25!E69</f>
        <v>-103594.74545295342</v>
      </c>
      <c r="I39" s="868"/>
    </row>
  </sheetData>
  <mergeCells count="71">
    <mergeCell ref="A6:B6"/>
    <mergeCell ref="C2:D3"/>
    <mergeCell ref="A2:B3"/>
    <mergeCell ref="A4:B4"/>
    <mergeCell ref="A5:B5"/>
    <mergeCell ref="A7:B7"/>
    <mergeCell ref="C12:H12"/>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2:B22"/>
    <mergeCell ref="C22:D22"/>
    <mergeCell ref="E22:F22"/>
    <mergeCell ref="G22:H22"/>
    <mergeCell ref="A20:B20"/>
    <mergeCell ref="C20:D20"/>
    <mergeCell ref="E20:F20"/>
    <mergeCell ref="G20:H20"/>
    <mergeCell ref="A21:B21"/>
    <mergeCell ref="C21:D21"/>
    <mergeCell ref="E21:F21"/>
    <mergeCell ref="G21:H21"/>
    <mergeCell ref="D30:I30"/>
    <mergeCell ref="D33:I33"/>
    <mergeCell ref="D34:E34"/>
    <mergeCell ref="F34:G34"/>
    <mergeCell ref="H34:I34"/>
    <mergeCell ref="A36:C36"/>
    <mergeCell ref="A37:C37"/>
    <mergeCell ref="A38:C38"/>
    <mergeCell ref="A39:C39"/>
    <mergeCell ref="D35:E35"/>
    <mergeCell ref="D36:E36"/>
    <mergeCell ref="D37:E37"/>
    <mergeCell ref="D38:E38"/>
    <mergeCell ref="D39:E39"/>
    <mergeCell ref="A33:C35"/>
    <mergeCell ref="F38:G38"/>
    <mergeCell ref="F39:G39"/>
    <mergeCell ref="H35:I35"/>
    <mergeCell ref="H36:I36"/>
    <mergeCell ref="H37:I37"/>
    <mergeCell ref="H38:I38"/>
    <mergeCell ref="H39:I39"/>
    <mergeCell ref="F35:G35"/>
    <mergeCell ref="F36:G36"/>
    <mergeCell ref="F37:G37"/>
  </mergeCells>
  <conditionalFormatting sqref="F6:F7">
    <cfRule type="cellIs" dxfId="0" priority="1"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59"/>
  <sheetViews>
    <sheetView zoomScale="85" zoomScaleNormal="85" workbookViewId="0">
      <selection activeCell="B30" sqref="B30"/>
    </sheetView>
  </sheetViews>
  <sheetFormatPr defaultColWidth="9.1796875" defaultRowHeight="14.5" outlineLevelCol="1" x14ac:dyDescent="0.35"/>
  <cols>
    <col min="1" max="1" width="16.1796875" style="70" customWidth="1"/>
    <col min="2" max="2" width="29.1796875" style="71" customWidth="1"/>
    <col min="3" max="3" width="6.81640625" style="1" customWidth="1"/>
    <col min="4" max="6" width="12.26953125" style="1" customWidth="1"/>
    <col min="7" max="9" width="12.26953125" style="1" hidden="1" customWidth="1" outlineLevel="1"/>
    <col min="10" max="10" width="16.453125" style="2" customWidth="1" collapsed="1"/>
    <col min="11" max="11" width="9.1796875" style="1"/>
    <col min="12" max="12" width="13" style="1" customWidth="1"/>
    <col min="13" max="13" width="14.26953125" style="70" customWidth="1"/>
    <col min="14" max="14" width="14" style="70" customWidth="1"/>
    <col min="15" max="15" width="15.26953125" style="70" customWidth="1"/>
    <col min="16" max="16384" width="9.1796875" style="70"/>
  </cols>
  <sheetData>
    <row r="1" spans="1:15" ht="25.5" customHeight="1" x14ac:dyDescent="0.35">
      <c r="A1" s="98" t="s">
        <v>68</v>
      </c>
      <c r="D1" s="769" t="s">
        <v>69</v>
      </c>
      <c r="E1" s="769"/>
      <c r="F1" s="769"/>
      <c r="G1" s="769"/>
      <c r="H1" s="769"/>
      <c r="I1" s="769"/>
      <c r="L1" s="130" t="s">
        <v>163</v>
      </c>
      <c r="M1" s="1"/>
      <c r="N1" s="1"/>
      <c r="O1" s="1"/>
    </row>
    <row r="2" spans="1:15" ht="42" customHeight="1" x14ac:dyDescent="0.35">
      <c r="A2" s="82"/>
      <c r="B2" s="88"/>
      <c r="C2" s="75" t="s">
        <v>2</v>
      </c>
      <c r="D2" s="83">
        <f>Esileht!B10</f>
        <v>2024</v>
      </c>
      <c r="E2" s="83">
        <f>D2+1</f>
        <v>2025</v>
      </c>
      <c r="F2" s="83">
        <f t="shared" ref="F2:I2" si="0">E2+1</f>
        <v>2026</v>
      </c>
      <c r="G2" s="83">
        <f t="shared" si="0"/>
        <v>2027</v>
      </c>
      <c r="H2" s="83">
        <f t="shared" si="0"/>
        <v>2028</v>
      </c>
      <c r="I2" s="83">
        <f t="shared" si="0"/>
        <v>2029</v>
      </c>
      <c r="J2" s="83" t="s">
        <v>65</v>
      </c>
      <c r="L2" s="99" t="s">
        <v>63</v>
      </c>
      <c r="M2" s="131" t="s">
        <v>103</v>
      </c>
      <c r="N2" s="131" t="s">
        <v>104</v>
      </c>
      <c r="O2" s="131" t="s">
        <v>164</v>
      </c>
    </row>
    <row r="3" spans="1:15" ht="3.75" customHeight="1" x14ac:dyDescent="0.35">
      <c r="A3" s="84"/>
      <c r="B3" s="89"/>
      <c r="C3" s="85"/>
      <c r="D3" s="86"/>
      <c r="E3" s="86"/>
      <c r="F3" s="86"/>
      <c r="G3" s="86"/>
      <c r="H3" s="86"/>
      <c r="I3" s="86"/>
      <c r="J3" s="87"/>
      <c r="L3" s="91"/>
      <c r="M3" s="74"/>
      <c r="N3" s="74"/>
      <c r="O3" s="134"/>
    </row>
    <row r="4" spans="1:15" ht="21" customHeight="1" x14ac:dyDescent="0.35">
      <c r="A4" s="762" t="s">
        <v>114</v>
      </c>
      <c r="B4" s="763"/>
      <c r="C4" s="76" t="s">
        <v>3</v>
      </c>
      <c r="D4" s="92"/>
      <c r="E4" s="92"/>
      <c r="F4" s="92"/>
      <c r="G4" s="92"/>
      <c r="H4" s="92"/>
      <c r="I4" s="92"/>
      <c r="J4" s="93">
        <f t="shared" ref="J4" si="1">SUM(D4:I4)</f>
        <v>0</v>
      </c>
      <c r="L4" s="72"/>
      <c r="M4" s="72"/>
      <c r="N4" s="72"/>
      <c r="O4" s="132">
        <f>IF(M4=$M$48,N4+L4-1,N4+L4)</f>
        <v>0</v>
      </c>
    </row>
    <row r="5" spans="1:15" ht="3.75" customHeight="1" x14ac:dyDescent="0.35">
      <c r="A5" s="73"/>
      <c r="B5" s="90"/>
      <c r="C5" s="74"/>
      <c r="D5" s="94"/>
      <c r="E5" s="94"/>
      <c r="F5" s="94"/>
      <c r="G5" s="94"/>
      <c r="H5" s="94"/>
      <c r="I5" s="94"/>
      <c r="J5" s="95"/>
      <c r="L5" s="4"/>
      <c r="M5" s="74"/>
      <c r="N5" s="74"/>
      <c r="O5" s="134"/>
    </row>
    <row r="6" spans="1:15" ht="21" customHeight="1" x14ac:dyDescent="0.35">
      <c r="A6" s="764" t="s">
        <v>245</v>
      </c>
      <c r="B6" s="765"/>
      <c r="C6" s="76" t="s">
        <v>3</v>
      </c>
      <c r="D6" s="92">
        <v>50000</v>
      </c>
      <c r="E6" s="92"/>
      <c r="F6" s="92"/>
      <c r="G6" s="92"/>
      <c r="H6" s="92"/>
      <c r="I6" s="92"/>
      <c r="J6" s="93">
        <f>SUM(D6:I6)</f>
        <v>50000</v>
      </c>
      <c r="L6" s="72"/>
      <c r="M6" s="72"/>
      <c r="N6" s="72"/>
      <c r="O6" s="132">
        <f>IF(M6=$M$48,N6+L6-1,N6+L6)</f>
        <v>0</v>
      </c>
    </row>
    <row r="7" spans="1:15" ht="3.75" customHeight="1" x14ac:dyDescent="0.35">
      <c r="A7" s="73"/>
      <c r="B7" s="90"/>
      <c r="C7" s="74"/>
      <c r="D7" s="94"/>
      <c r="E7" s="94"/>
      <c r="F7" s="94"/>
      <c r="G7" s="94"/>
      <c r="H7" s="94"/>
      <c r="I7" s="94"/>
      <c r="J7" s="95"/>
      <c r="L7" s="4"/>
      <c r="M7" s="74"/>
      <c r="N7" s="74"/>
      <c r="O7" s="134"/>
    </row>
    <row r="8" spans="1:15" ht="29.25" customHeight="1" x14ac:dyDescent="0.35">
      <c r="A8" s="766" t="s">
        <v>244</v>
      </c>
      <c r="B8" s="361" t="s">
        <v>241</v>
      </c>
      <c r="C8" s="76" t="s">
        <v>3</v>
      </c>
      <c r="D8" s="92"/>
      <c r="E8" s="733">
        <v>3100000</v>
      </c>
      <c r="F8" s="92"/>
      <c r="G8" s="92"/>
      <c r="H8" s="92"/>
      <c r="I8" s="92"/>
      <c r="J8" s="93">
        <f>SUM(D8:I8)</f>
        <v>3100000</v>
      </c>
      <c r="L8" s="72">
        <v>25</v>
      </c>
      <c r="M8" s="72" t="s">
        <v>105</v>
      </c>
      <c r="N8" s="72">
        <v>2025</v>
      </c>
      <c r="O8" s="132">
        <f>IF(M8=$M$48,N8+L8-1,N8+L8)</f>
        <v>2049</v>
      </c>
    </row>
    <row r="9" spans="1:15" ht="18.75" customHeight="1" x14ac:dyDescent="0.35">
      <c r="A9" s="766"/>
      <c r="B9" s="361" t="s">
        <v>246</v>
      </c>
      <c r="C9" s="76" t="s">
        <v>3</v>
      </c>
      <c r="D9" s="92"/>
      <c r="E9" s="732"/>
      <c r="F9" s="92">
        <v>120000</v>
      </c>
      <c r="G9" s="92"/>
      <c r="H9" s="92"/>
      <c r="I9" s="92"/>
      <c r="J9" s="93">
        <f t="shared" ref="J9:J12" si="2">SUM(D9:I9)</f>
        <v>120000</v>
      </c>
      <c r="L9" s="72">
        <v>13</v>
      </c>
      <c r="M9" s="72" t="s">
        <v>105</v>
      </c>
      <c r="N9" s="72">
        <v>2025</v>
      </c>
      <c r="O9" s="132">
        <f>IF(M9=$M$48,N9+L9-1,N9+L9)</f>
        <v>2037</v>
      </c>
    </row>
    <row r="10" spans="1:15" ht="42.75" hidden="1" customHeight="1" x14ac:dyDescent="0.35">
      <c r="A10" s="766"/>
      <c r="B10" s="361"/>
      <c r="C10" s="76" t="s">
        <v>3</v>
      </c>
      <c r="D10" s="92"/>
      <c r="E10" s="92"/>
      <c r="F10" s="92"/>
      <c r="G10" s="92"/>
      <c r="H10" s="92"/>
      <c r="I10" s="92"/>
      <c r="J10" s="93">
        <f t="shared" si="2"/>
        <v>0</v>
      </c>
      <c r="L10" s="72"/>
      <c r="M10" s="72"/>
      <c r="N10" s="72"/>
      <c r="O10" s="132">
        <f>IF(M10=$M$48,N10+L10-1,N10+L10)</f>
        <v>0</v>
      </c>
    </row>
    <row r="11" spans="1:15" ht="64.5" hidden="1" customHeight="1" x14ac:dyDescent="0.35">
      <c r="A11" s="766"/>
      <c r="B11" s="363"/>
      <c r="C11" s="76" t="s">
        <v>3</v>
      </c>
      <c r="D11" s="92"/>
      <c r="E11" s="92"/>
      <c r="F11" s="92"/>
      <c r="G11" s="92"/>
      <c r="H11" s="92"/>
      <c r="I11" s="92"/>
      <c r="J11" s="93">
        <f t="shared" si="2"/>
        <v>0</v>
      </c>
      <c r="L11" s="72"/>
      <c r="M11" s="72"/>
      <c r="N11" s="72"/>
      <c r="O11" s="132">
        <f>IF(M11=$M$48,N11+L11-1,N11+L11)</f>
        <v>0</v>
      </c>
    </row>
    <row r="12" spans="1:15" ht="36.75" hidden="1" customHeight="1" x14ac:dyDescent="0.35">
      <c r="A12" s="766"/>
      <c r="B12" s="363"/>
      <c r="C12" s="76" t="s">
        <v>3</v>
      </c>
      <c r="D12" s="92"/>
      <c r="E12" s="92"/>
      <c r="F12" s="92"/>
      <c r="G12" s="92"/>
      <c r="H12" s="92"/>
      <c r="I12" s="92"/>
      <c r="J12" s="93">
        <f t="shared" si="2"/>
        <v>0</v>
      </c>
      <c r="L12" s="72"/>
      <c r="M12" s="72"/>
      <c r="N12" s="72"/>
      <c r="O12" s="132">
        <f>IF(M12=$M$48,N12+L12-1,N12+L12)</f>
        <v>0</v>
      </c>
    </row>
    <row r="13" spans="1:15" ht="18" customHeight="1" x14ac:dyDescent="0.35">
      <c r="A13" s="767" t="s">
        <v>139</v>
      </c>
      <c r="B13" s="767"/>
      <c r="C13" s="77" t="s">
        <v>3</v>
      </c>
      <c r="D13" s="93">
        <f t="shared" ref="D13:I13" si="3">SUBTOTAL(9,D8:D12)</f>
        <v>0</v>
      </c>
      <c r="E13" s="93">
        <f t="shared" si="3"/>
        <v>3100000</v>
      </c>
      <c r="F13" s="93">
        <f t="shared" si="3"/>
        <v>120000</v>
      </c>
      <c r="G13" s="93">
        <f t="shared" si="3"/>
        <v>0</v>
      </c>
      <c r="H13" s="93">
        <f t="shared" si="3"/>
        <v>0</v>
      </c>
      <c r="I13" s="93">
        <f t="shared" si="3"/>
        <v>0</v>
      </c>
      <c r="J13" s="93">
        <f t="shared" ref="J13" si="4">SUM(D13:I13)</f>
        <v>3220000</v>
      </c>
      <c r="L13" s="138"/>
      <c r="M13" s="139"/>
      <c r="N13" s="139"/>
      <c r="O13" s="140"/>
    </row>
    <row r="14" spans="1:15" ht="3.75" customHeight="1" x14ac:dyDescent="0.35">
      <c r="A14" s="73"/>
      <c r="B14" s="90"/>
      <c r="C14" s="74"/>
      <c r="D14" s="94"/>
      <c r="E14" s="94"/>
      <c r="F14" s="94"/>
      <c r="G14" s="94"/>
      <c r="H14" s="94"/>
      <c r="I14" s="94"/>
      <c r="J14" s="95"/>
      <c r="L14" s="141"/>
      <c r="M14" s="142"/>
      <c r="N14" s="142"/>
      <c r="O14" s="143"/>
    </row>
    <row r="15" spans="1:15" ht="21" hidden="1" customHeight="1" x14ac:dyDescent="0.35">
      <c r="A15" s="757"/>
      <c r="B15" s="758"/>
      <c r="C15" s="76" t="s">
        <v>3</v>
      </c>
      <c r="D15" s="92"/>
      <c r="E15" s="92"/>
      <c r="F15" s="92"/>
      <c r="G15" s="92"/>
      <c r="H15" s="92"/>
      <c r="I15" s="92"/>
      <c r="J15" s="93">
        <f>SUM(D15:I15)</f>
        <v>0</v>
      </c>
      <c r="L15" s="72"/>
      <c r="M15" s="72"/>
      <c r="N15" s="72"/>
      <c r="O15" s="132">
        <f>IF(M15=$M$48,N15+L15-1,N15+L15)</f>
        <v>0</v>
      </c>
    </row>
    <row r="16" spans="1:15" ht="3.75" hidden="1" customHeight="1" x14ac:dyDescent="0.35">
      <c r="A16" s="73"/>
      <c r="B16" s="90"/>
      <c r="C16" s="74"/>
      <c r="D16" s="94"/>
      <c r="E16" s="94"/>
      <c r="F16" s="94"/>
      <c r="G16" s="94"/>
      <c r="H16" s="94"/>
      <c r="I16" s="94"/>
      <c r="J16" s="96"/>
      <c r="L16" s="4"/>
      <c r="M16" s="74"/>
      <c r="N16" s="74"/>
      <c r="O16" s="134"/>
    </row>
    <row r="17" spans="1:15" ht="32.25" customHeight="1" x14ac:dyDescent="0.35">
      <c r="A17" s="764" t="s">
        <v>247</v>
      </c>
      <c r="B17" s="765"/>
      <c r="C17" s="76" t="s">
        <v>3</v>
      </c>
      <c r="D17" s="92"/>
      <c r="E17" s="92"/>
      <c r="F17" s="92">
        <v>2000</v>
      </c>
      <c r="G17" s="92"/>
      <c r="H17" s="92"/>
      <c r="I17" s="92"/>
      <c r="J17" s="93">
        <f>SUM(D17:I17)</f>
        <v>2000</v>
      </c>
      <c r="L17" s="72"/>
      <c r="M17" s="72"/>
      <c r="N17" s="72"/>
      <c r="O17" s="132">
        <f>IF(M17=$M$48,N17+L17-1,N17+L17)</f>
        <v>0</v>
      </c>
    </row>
    <row r="18" spans="1:15" ht="3.75" customHeight="1" x14ac:dyDescent="0.35">
      <c r="A18" s="73"/>
      <c r="B18" s="90"/>
      <c r="C18" s="74"/>
      <c r="D18" s="94"/>
      <c r="E18" s="94"/>
      <c r="F18" s="94"/>
      <c r="G18" s="94"/>
      <c r="H18" s="94"/>
      <c r="I18" s="94"/>
      <c r="J18" s="96"/>
      <c r="L18" s="4"/>
      <c r="M18" s="74"/>
      <c r="N18" s="74"/>
      <c r="O18" s="134"/>
    </row>
    <row r="19" spans="1:15" s="81" customFormat="1" ht="21.75" customHeight="1" x14ac:dyDescent="0.35">
      <c r="A19" s="760" t="s">
        <v>64</v>
      </c>
      <c r="B19" s="761"/>
      <c r="C19" s="79" t="s">
        <v>3</v>
      </c>
      <c r="D19" s="97">
        <f t="shared" ref="D19:I19" si="5">SUBTOTAL(9,D4:D17)</f>
        <v>50000</v>
      </c>
      <c r="E19" s="97">
        <f t="shared" si="5"/>
        <v>3100000</v>
      </c>
      <c r="F19" s="97">
        <f t="shared" si="5"/>
        <v>122000</v>
      </c>
      <c r="G19" s="97">
        <f t="shared" si="5"/>
        <v>0</v>
      </c>
      <c r="H19" s="97">
        <f t="shared" si="5"/>
        <v>0</v>
      </c>
      <c r="I19" s="97">
        <f t="shared" si="5"/>
        <v>0</v>
      </c>
      <c r="J19" s="97">
        <f>SUM(D19:I19)</f>
        <v>3272000</v>
      </c>
      <c r="K19" s="80"/>
      <c r="L19" s="754" t="s">
        <v>113</v>
      </c>
      <c r="M19" s="755"/>
      <c r="N19" s="756"/>
      <c r="O19" s="133">
        <f>MAX(O5:O17)</f>
        <v>2049</v>
      </c>
    </row>
    <row r="20" spans="1:15" ht="3.75" customHeight="1" x14ac:dyDescent="0.35">
      <c r="A20" s="73"/>
      <c r="B20" s="90"/>
      <c r="C20" s="74"/>
      <c r="D20" s="18"/>
      <c r="E20" s="18"/>
      <c r="F20" s="18"/>
      <c r="G20" s="18"/>
      <c r="H20" s="18"/>
      <c r="I20" s="18"/>
      <c r="J20" s="78"/>
      <c r="L20" s="4"/>
      <c r="M20" s="74"/>
      <c r="N20" s="74"/>
      <c r="O20" s="134"/>
    </row>
    <row r="21" spans="1:15" ht="28.5" customHeight="1" x14ac:dyDescent="0.35">
      <c r="A21" s="23"/>
      <c r="L21" s="768" t="s">
        <v>165</v>
      </c>
      <c r="M21" s="768"/>
      <c r="N21" s="768"/>
      <c r="O21" s="72">
        <f>IF(O19&lt;=Esileht!B11,0,O19-Esileht!B11)</f>
        <v>11</v>
      </c>
    </row>
    <row r="22" spans="1:15" ht="8.25" customHeight="1" x14ac:dyDescent="0.35">
      <c r="A22" s="1"/>
    </row>
    <row r="23" spans="1:15" ht="22.5" customHeight="1" x14ac:dyDescent="0.35">
      <c r="A23" s="98" t="s">
        <v>67</v>
      </c>
    </row>
    <row r="24" spans="1:15" ht="28.5" customHeight="1" x14ac:dyDescent="0.35">
      <c r="A24" s="82"/>
      <c r="B24" s="88"/>
      <c r="C24" s="75" t="s">
        <v>2</v>
      </c>
      <c r="D24" s="83">
        <f>D2</f>
        <v>2024</v>
      </c>
      <c r="E24" s="83">
        <f>D24+1</f>
        <v>2025</v>
      </c>
      <c r="F24" s="83">
        <f t="shared" ref="F24" si="6">E24+1</f>
        <v>2026</v>
      </c>
      <c r="G24" s="83">
        <f t="shared" ref="G24" si="7">F24+1</f>
        <v>2027</v>
      </c>
      <c r="H24" s="83">
        <f t="shared" ref="H24" si="8">G24+1</f>
        <v>2028</v>
      </c>
      <c r="I24" s="83">
        <f t="shared" ref="I24" si="9">H24+1</f>
        <v>2029</v>
      </c>
      <c r="J24" s="83" t="s">
        <v>65</v>
      </c>
    </row>
    <row r="25" spans="1:15" ht="3.75" customHeight="1" x14ac:dyDescent="0.35">
      <c r="A25" s="84"/>
      <c r="B25" s="89"/>
      <c r="C25" s="85"/>
      <c r="D25" s="86"/>
      <c r="E25" s="86"/>
      <c r="F25" s="86"/>
      <c r="G25" s="86"/>
      <c r="H25" s="86"/>
      <c r="I25" s="86"/>
      <c r="J25" s="87"/>
    </row>
    <row r="26" spans="1:15" ht="21" customHeight="1" x14ac:dyDescent="0.35">
      <c r="A26" s="762" t="s">
        <v>114</v>
      </c>
      <c r="B26" s="763"/>
      <c r="C26" s="76" t="s">
        <v>3</v>
      </c>
      <c r="D26" s="92"/>
      <c r="E26" s="92"/>
      <c r="F26" s="92"/>
      <c r="G26" s="92"/>
      <c r="H26" s="92"/>
      <c r="I26" s="92"/>
      <c r="J26" s="93">
        <f t="shared" ref="J26" si="10">SUM(D26:I26)</f>
        <v>0</v>
      </c>
    </row>
    <row r="27" spans="1:15" ht="3.75" customHeight="1" x14ac:dyDescent="0.35">
      <c r="A27" s="73"/>
      <c r="B27" s="90"/>
      <c r="C27" s="74"/>
      <c r="D27" s="94"/>
      <c r="E27" s="94"/>
      <c r="F27" s="94"/>
      <c r="G27" s="94"/>
      <c r="H27" s="94"/>
      <c r="I27" s="94"/>
      <c r="J27" s="95"/>
    </row>
    <row r="28" spans="1:15" ht="21" customHeight="1" x14ac:dyDescent="0.35">
      <c r="A28" s="764" t="s">
        <v>115</v>
      </c>
      <c r="B28" s="765"/>
      <c r="C28" s="76" t="s">
        <v>3</v>
      </c>
      <c r="D28" s="92">
        <f>D6</f>
        <v>50000</v>
      </c>
      <c r="E28" s="92"/>
      <c r="F28" s="92"/>
      <c r="G28" s="92"/>
      <c r="H28" s="92"/>
      <c r="I28" s="92"/>
      <c r="J28" s="93">
        <f>SUM(D28:I28)</f>
        <v>50000</v>
      </c>
    </row>
    <row r="29" spans="1:15" ht="3.75" customHeight="1" x14ac:dyDescent="0.35">
      <c r="A29" s="73"/>
      <c r="B29" s="90"/>
      <c r="C29" s="74"/>
      <c r="D29" s="94"/>
      <c r="E29" s="94"/>
      <c r="F29" s="94"/>
      <c r="G29" s="94"/>
      <c r="H29" s="94"/>
      <c r="I29" s="94"/>
      <c r="J29" s="95"/>
    </row>
    <row r="30" spans="1:15" ht="30.75" customHeight="1" x14ac:dyDescent="0.35">
      <c r="A30" s="766" t="str">
        <f>A8</f>
        <v>3. Ehitamine</v>
      </c>
      <c r="B30" s="135" t="str">
        <f>B8</f>
        <v>3.1. Inkubaatori  ehitamise kulud</v>
      </c>
      <c r="C30" s="76" t="s">
        <v>3</v>
      </c>
      <c r="D30" s="92"/>
      <c r="E30" s="92">
        <f>E8</f>
        <v>3100000</v>
      </c>
      <c r="F30" s="92"/>
      <c r="G30" s="92"/>
      <c r="H30" s="92"/>
      <c r="I30" s="92"/>
      <c r="J30" s="93">
        <f>SUM(D30:I30)</f>
        <v>3100000</v>
      </c>
    </row>
    <row r="31" spans="1:15" ht="18.75" customHeight="1" x14ac:dyDescent="0.35">
      <c r="A31" s="766"/>
      <c r="B31" s="135" t="str">
        <f>B9</f>
        <v>3.2. Seadmete ostmise kulud</v>
      </c>
      <c r="C31" s="76" t="s">
        <v>3</v>
      </c>
      <c r="D31" s="92"/>
      <c r="E31" s="92">
        <f>E9</f>
        <v>0</v>
      </c>
      <c r="F31" s="92">
        <f>F9</f>
        <v>120000</v>
      </c>
      <c r="G31" s="92"/>
      <c r="H31" s="92"/>
      <c r="I31" s="92"/>
      <c r="J31" s="93">
        <f t="shared" ref="J31:J34" si="11">SUM(D31:I31)</f>
        <v>120000</v>
      </c>
    </row>
    <row r="32" spans="1:15" ht="40.5" hidden="1" customHeight="1" x14ac:dyDescent="0.35">
      <c r="A32" s="766"/>
      <c r="B32" s="135"/>
      <c r="C32" s="76" t="s">
        <v>3</v>
      </c>
      <c r="D32" s="92"/>
      <c r="E32" s="92"/>
      <c r="F32" s="92"/>
      <c r="G32" s="92"/>
      <c r="H32" s="92"/>
      <c r="I32" s="92"/>
      <c r="J32" s="93">
        <f t="shared" si="11"/>
        <v>0</v>
      </c>
    </row>
    <row r="33" spans="1:16" ht="62.25" hidden="1" customHeight="1" x14ac:dyDescent="0.35">
      <c r="A33" s="766"/>
      <c r="B33" s="135">
        <f>B11</f>
        <v>0</v>
      </c>
      <c r="C33" s="76" t="s">
        <v>3</v>
      </c>
      <c r="D33" s="92"/>
      <c r="E33" s="92"/>
      <c r="F33" s="92"/>
      <c r="G33" s="92"/>
      <c r="H33" s="92"/>
      <c r="I33" s="92"/>
      <c r="J33" s="93">
        <f t="shared" si="11"/>
        <v>0</v>
      </c>
    </row>
    <row r="34" spans="1:16" ht="15" hidden="1" customHeight="1" x14ac:dyDescent="0.35">
      <c r="A34" s="766"/>
      <c r="B34" s="135">
        <f>B12</f>
        <v>0</v>
      </c>
      <c r="C34" s="76" t="s">
        <v>3</v>
      </c>
      <c r="D34" s="92"/>
      <c r="E34" s="92"/>
      <c r="F34" s="92"/>
      <c r="G34" s="92"/>
      <c r="H34" s="92"/>
      <c r="I34" s="92"/>
      <c r="J34" s="93">
        <f t="shared" si="11"/>
        <v>0</v>
      </c>
    </row>
    <row r="35" spans="1:16" ht="16.5" customHeight="1" x14ac:dyDescent="0.35">
      <c r="A35" s="767" t="str">
        <f>A13</f>
        <v>3. Inkubaatori või tootearenduskeskuse arendamise kulud kokku</v>
      </c>
      <c r="B35" s="767"/>
      <c r="C35" s="77" t="s">
        <v>3</v>
      </c>
      <c r="D35" s="93">
        <f t="shared" ref="D35:I35" si="12">SUBTOTAL(9,D30:D34)</f>
        <v>0</v>
      </c>
      <c r="E35" s="93">
        <f t="shared" si="12"/>
        <v>3100000</v>
      </c>
      <c r="F35" s="93">
        <f t="shared" si="12"/>
        <v>120000</v>
      </c>
      <c r="G35" s="93">
        <f t="shared" si="12"/>
        <v>0</v>
      </c>
      <c r="H35" s="93">
        <f t="shared" si="12"/>
        <v>0</v>
      </c>
      <c r="I35" s="93">
        <f t="shared" si="12"/>
        <v>0</v>
      </c>
      <c r="J35" s="93">
        <f t="shared" ref="J35" si="13">SUM(D35:I35)</f>
        <v>3220000</v>
      </c>
      <c r="O35" s="703"/>
      <c r="P35" s="703"/>
    </row>
    <row r="36" spans="1:16" ht="3.75" customHeight="1" x14ac:dyDescent="0.35">
      <c r="A36" s="73"/>
      <c r="B36" s="90"/>
      <c r="C36" s="74"/>
      <c r="D36" s="94"/>
      <c r="E36" s="94"/>
      <c r="F36" s="94"/>
      <c r="G36" s="94"/>
      <c r="H36" s="94"/>
      <c r="I36" s="94"/>
      <c r="J36" s="95"/>
      <c r="O36" s="703"/>
      <c r="P36" s="703"/>
    </row>
    <row r="37" spans="1:16" ht="21" hidden="1" customHeight="1" x14ac:dyDescent="0.35">
      <c r="A37" s="764">
        <f>A15</f>
        <v>0</v>
      </c>
      <c r="B37" s="765"/>
      <c r="C37" s="76" t="s">
        <v>3</v>
      </c>
      <c r="D37" s="92"/>
      <c r="E37" s="92"/>
      <c r="F37" s="92"/>
      <c r="G37" s="92"/>
      <c r="H37" s="92"/>
      <c r="I37" s="92"/>
      <c r="J37" s="93">
        <f>SUM(D37:I37)</f>
        <v>0</v>
      </c>
      <c r="O37" s="703"/>
      <c r="P37" s="703"/>
    </row>
    <row r="38" spans="1:16" ht="3.75" hidden="1" customHeight="1" x14ac:dyDescent="0.35">
      <c r="A38" s="73"/>
      <c r="B38" s="90"/>
      <c r="C38" s="74"/>
      <c r="D38" s="94"/>
      <c r="E38" s="94"/>
      <c r="F38" s="94"/>
      <c r="G38" s="94"/>
      <c r="H38" s="94"/>
      <c r="I38" s="94"/>
      <c r="J38" s="96"/>
      <c r="O38" s="703"/>
      <c r="P38" s="703"/>
    </row>
    <row r="39" spans="1:16" ht="34.5" customHeight="1" x14ac:dyDescent="0.35">
      <c r="A39" s="764" t="str">
        <f>A17</f>
        <v>4. Struktuuritoetuse andmisest avalikkuse teavitamine</v>
      </c>
      <c r="B39" s="765"/>
      <c r="C39" s="76" t="s">
        <v>3</v>
      </c>
      <c r="D39" s="92"/>
      <c r="E39" s="92"/>
      <c r="F39" s="92">
        <f>F17</f>
        <v>2000</v>
      </c>
      <c r="G39" s="92"/>
      <c r="H39" s="92"/>
      <c r="I39" s="92"/>
      <c r="J39" s="93">
        <f>SUM(D39:I39)</f>
        <v>2000</v>
      </c>
      <c r="O39" s="703"/>
      <c r="P39" s="703"/>
    </row>
    <row r="40" spans="1:16" ht="3.75" customHeight="1" x14ac:dyDescent="0.35">
      <c r="A40" s="73"/>
      <c r="B40" s="90"/>
      <c r="C40" s="74"/>
      <c r="D40" s="94"/>
      <c r="E40" s="94"/>
      <c r="F40" s="94"/>
      <c r="G40" s="94"/>
      <c r="H40" s="94"/>
      <c r="I40" s="94"/>
      <c r="J40" s="96"/>
    </row>
    <row r="41" spans="1:16" ht="19.5" customHeight="1" x14ac:dyDescent="0.35">
      <c r="A41" s="760" t="s">
        <v>66</v>
      </c>
      <c r="B41" s="761"/>
      <c r="C41" s="79" t="s">
        <v>3</v>
      </c>
      <c r="D41" s="97">
        <f t="shared" ref="D41:I41" si="14">SUBTOTAL(9,D26:D39)</f>
        <v>50000</v>
      </c>
      <c r="E41" s="97">
        <f t="shared" si="14"/>
        <v>3100000</v>
      </c>
      <c r="F41" s="97">
        <f t="shared" si="14"/>
        <v>122000</v>
      </c>
      <c r="G41" s="97">
        <f t="shared" si="14"/>
        <v>0</v>
      </c>
      <c r="H41" s="97">
        <f t="shared" si="14"/>
        <v>0</v>
      </c>
      <c r="I41" s="97">
        <f t="shared" si="14"/>
        <v>0</v>
      </c>
      <c r="J41" s="97">
        <f>SUM(D41:I41)</f>
        <v>3272000</v>
      </c>
      <c r="K41" s="136">
        <f>IF(J19&gt;0,J41/J19,"")</f>
        <v>1</v>
      </c>
    </row>
    <row r="42" spans="1:16" ht="3.75" customHeight="1" x14ac:dyDescent="0.35">
      <c r="A42" s="73"/>
      <c r="B42" s="90"/>
      <c r="C42" s="74"/>
      <c r="D42" s="18"/>
      <c r="E42" s="18"/>
      <c r="F42" s="18"/>
      <c r="G42" s="18"/>
      <c r="H42" s="18"/>
      <c r="I42" s="18"/>
      <c r="J42" s="78"/>
    </row>
    <row r="43" spans="1:16" x14ac:dyDescent="0.35">
      <c r="A43" s="23"/>
      <c r="K43" s="100"/>
    </row>
    <row r="44" spans="1:16" ht="19.5" customHeight="1" x14ac:dyDescent="0.35">
      <c r="A44" s="759" t="s">
        <v>72</v>
      </c>
      <c r="B44" s="759"/>
      <c r="C44" s="76" t="s">
        <v>3</v>
      </c>
      <c r="D44" s="118">
        <f t="shared" ref="D44:I44" si="15">D19-D41</f>
        <v>0</v>
      </c>
      <c r="E44" s="118">
        <f t="shared" si="15"/>
        <v>0</v>
      </c>
      <c r="F44" s="118">
        <f t="shared" si="15"/>
        <v>0</v>
      </c>
      <c r="G44" s="118">
        <f t="shared" si="15"/>
        <v>0</v>
      </c>
      <c r="H44" s="118">
        <f t="shared" si="15"/>
        <v>0</v>
      </c>
      <c r="I44" s="118">
        <f t="shared" si="15"/>
        <v>0</v>
      </c>
      <c r="J44" s="119">
        <f>SUM(D44:I44)</f>
        <v>0</v>
      </c>
      <c r="K44" s="137">
        <f>IF(J19&gt;0,J44/J19,"")</f>
        <v>0</v>
      </c>
    </row>
    <row r="48" spans="1:16" hidden="1" x14ac:dyDescent="0.35">
      <c r="M48" s="103" t="s">
        <v>105</v>
      </c>
    </row>
    <row r="49" spans="13:13" hidden="1" x14ac:dyDescent="0.35">
      <c r="M49" s="103" t="s">
        <v>106</v>
      </c>
    </row>
    <row r="50" spans="13:13" hidden="1" x14ac:dyDescent="0.35">
      <c r="M50" s="103" t="s">
        <v>4</v>
      </c>
    </row>
    <row r="51" spans="13:13" hidden="1" x14ac:dyDescent="0.35">
      <c r="M51" s="103" t="s">
        <v>107</v>
      </c>
    </row>
    <row r="52" spans="13:13" hidden="1" x14ac:dyDescent="0.35">
      <c r="M52" s="103" t="s">
        <v>5</v>
      </c>
    </row>
    <row r="53" spans="13:13" hidden="1" x14ac:dyDescent="0.35">
      <c r="M53" s="103" t="s">
        <v>6</v>
      </c>
    </row>
    <row r="54" spans="13:13" hidden="1" x14ac:dyDescent="0.35">
      <c r="M54" s="103" t="s">
        <v>7</v>
      </c>
    </row>
    <row r="55" spans="13:13" hidden="1" x14ac:dyDescent="0.35">
      <c r="M55" s="103" t="s">
        <v>108</v>
      </c>
    </row>
    <row r="56" spans="13:13" hidden="1" x14ac:dyDescent="0.35">
      <c r="M56" s="103" t="s">
        <v>109</v>
      </c>
    </row>
    <row r="57" spans="13:13" hidden="1" x14ac:dyDescent="0.35">
      <c r="M57" s="103" t="s">
        <v>110</v>
      </c>
    </row>
    <row r="58" spans="13:13" hidden="1" x14ac:dyDescent="0.35">
      <c r="M58" s="103" t="s">
        <v>111</v>
      </c>
    </row>
    <row r="59" spans="13:13" hidden="1" x14ac:dyDescent="0.35">
      <c r="M59" s="103" t="s">
        <v>112</v>
      </c>
    </row>
  </sheetData>
  <mergeCells count="18">
    <mergeCell ref="A13:B13"/>
    <mergeCell ref="D1:I1"/>
    <mergeCell ref="A8:A12"/>
    <mergeCell ref="A4:B4"/>
    <mergeCell ref="A6:B6"/>
    <mergeCell ref="L19:N19"/>
    <mergeCell ref="A15:B15"/>
    <mergeCell ref="A44:B44"/>
    <mergeCell ref="A19:B19"/>
    <mergeCell ref="A26:B26"/>
    <mergeCell ref="A37:B37"/>
    <mergeCell ref="A39:B39"/>
    <mergeCell ref="A41:B41"/>
    <mergeCell ref="A17:B17"/>
    <mergeCell ref="A28:B28"/>
    <mergeCell ref="A30:A34"/>
    <mergeCell ref="A35:B35"/>
    <mergeCell ref="L21:N21"/>
  </mergeCells>
  <dataValidations count="3">
    <dataValidation type="whole" operator="greaterThanOrEqual" allowBlank="1" showInputMessage="1" showErrorMessage="1" error="Aastate arv peab olema vähemalt 1" promptTitle="Vara kasulik eluiga" prompt="Aastate arv peab olema vähemalt 1" sqref="L15 L17 L4:L6 L8:L12" xr:uid="{00000000-0002-0000-0200-000000000000}">
      <formula1>1</formula1>
    </dataValidation>
    <dataValidation type="whole" allowBlank="1" showInputMessage="1" showErrorMessage="1" error="Aastanumber on väljaspool projektiperioodi" sqref="N20 N4:N18" xr:uid="{00000000-0002-0000-0200-000001000000}">
      <formula1>$D$2</formula1>
      <formula2>$I$2</formula2>
    </dataValidation>
    <dataValidation type="list" allowBlank="1" showInputMessage="1" showErrorMessage="1" prompt="Vali kuu rippmenüüst" sqref="M20 M4:M18" xr:uid="{00000000-0002-0000-0200-000002000000}">
      <formula1>$M$48:$M$59</formula1>
    </dataValidation>
  </dataValidation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V588"/>
  <sheetViews>
    <sheetView tabSelected="1" zoomScale="85" zoomScaleNormal="85" workbookViewId="0">
      <pane xSplit="3" ySplit="3" topLeftCell="G29" activePane="bottomRight" state="frozen"/>
      <selection pane="topRight" activeCell="D1" sqref="D1"/>
      <selection pane="bottomLeft" activeCell="A4" sqref="A4"/>
      <selection pane="bottomRight" activeCell="A56" sqref="A56:R119"/>
    </sheetView>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ht="22.5" customHeight="1" x14ac:dyDescent="0.35">
      <c r="A1" s="145" t="s">
        <v>141</v>
      </c>
    </row>
    <row r="2" spans="1:20" s="152" customFormat="1" ht="8.25" customHeight="1" x14ac:dyDescent="0.35">
      <c r="A2" s="148"/>
      <c r="B2" s="149"/>
      <c r="C2" s="150"/>
      <c r="D2" s="151"/>
      <c r="E2" s="151"/>
      <c r="F2" s="151"/>
      <c r="G2" s="151"/>
      <c r="H2" s="151"/>
      <c r="I2" s="151"/>
      <c r="J2" s="151"/>
      <c r="K2" s="151"/>
      <c r="L2" s="151"/>
      <c r="M2" s="151"/>
      <c r="N2" s="151"/>
      <c r="O2" s="151"/>
      <c r="P2" s="151"/>
      <c r="Q2" s="151"/>
      <c r="R2" s="151"/>
      <c r="S2" s="150"/>
      <c r="T2" s="150"/>
    </row>
    <row r="3" spans="1:20" s="152" customFormat="1" ht="18" customHeight="1" x14ac:dyDescent="0.35">
      <c r="A3" s="153"/>
      <c r="B3" s="154"/>
      <c r="C3" s="155"/>
      <c r="D3" s="156">
        <f>'1. Projekti elluviimise kulud'!D2</f>
        <v>2024</v>
      </c>
      <c r="E3" s="156">
        <f>D3+1</f>
        <v>2025</v>
      </c>
      <c r="F3" s="156">
        <f t="shared" ref="F3:P3" si="0">E3+1</f>
        <v>2026</v>
      </c>
      <c r="G3" s="156">
        <f t="shared" si="0"/>
        <v>2027</v>
      </c>
      <c r="H3" s="156">
        <f t="shared" si="0"/>
        <v>2028</v>
      </c>
      <c r="I3" s="156">
        <f t="shared" si="0"/>
        <v>2029</v>
      </c>
      <c r="J3" s="156">
        <f t="shared" si="0"/>
        <v>2030</v>
      </c>
      <c r="K3" s="156">
        <f t="shared" si="0"/>
        <v>2031</v>
      </c>
      <c r="L3" s="156">
        <f t="shared" si="0"/>
        <v>2032</v>
      </c>
      <c r="M3" s="156">
        <f t="shared" si="0"/>
        <v>2033</v>
      </c>
      <c r="N3" s="156">
        <f t="shared" si="0"/>
        <v>2034</v>
      </c>
      <c r="O3" s="156">
        <f t="shared" si="0"/>
        <v>2035</v>
      </c>
      <c r="P3" s="156">
        <f t="shared" si="0"/>
        <v>2036</v>
      </c>
      <c r="Q3" s="156">
        <f t="shared" ref="Q3" si="1">P3+1</f>
        <v>2037</v>
      </c>
      <c r="R3" s="156">
        <f t="shared" ref="R3" si="2">Q3+1</f>
        <v>2038</v>
      </c>
      <c r="S3" s="294" t="str">
        <f>IF(R3=Esileht!B11,"OK","Prognoosiperioodi viimane aasta ei kattu esilehel näidatud arvestusperioodi lõpuaastaga")</f>
        <v>OK</v>
      </c>
      <c r="T3" s="150"/>
    </row>
    <row r="4" spans="1:20" ht="4.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32</v>
      </c>
      <c r="B5" s="165"/>
      <c r="C5" s="166" t="s">
        <v>2</v>
      </c>
      <c r="D5" s="168"/>
      <c r="E5" s="168"/>
      <c r="F5" s="719"/>
      <c r="G5" s="168"/>
      <c r="H5" s="168"/>
      <c r="I5" s="168"/>
      <c r="J5" s="168"/>
      <c r="K5" s="168"/>
      <c r="L5" s="168"/>
      <c r="M5" s="168"/>
      <c r="N5" s="168"/>
      <c r="O5" s="168"/>
      <c r="P5" s="168"/>
      <c r="Q5" s="168"/>
      <c r="R5" s="169"/>
      <c r="S5" s="163"/>
      <c r="T5" s="163"/>
    </row>
    <row r="6" spans="1:20" ht="4.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782" t="s">
        <v>526</v>
      </c>
      <c r="B7" s="171" t="s">
        <v>345</v>
      </c>
      <c r="C7" s="172" t="s">
        <v>530</v>
      </c>
      <c r="D7" s="173"/>
      <c r="E7" s="173"/>
      <c r="F7" s="729">
        <f>Tulud25!N8</f>
        <v>132.5</v>
      </c>
      <c r="G7" s="173">
        <f>F7</f>
        <v>132.5</v>
      </c>
      <c r="H7" s="173">
        <f>G7</f>
        <v>132.5</v>
      </c>
      <c r="I7" s="173">
        <f>Tulud50!N8</f>
        <v>132.5</v>
      </c>
      <c r="J7" s="173">
        <f>I7</f>
        <v>132.5</v>
      </c>
      <c r="K7" s="173">
        <f t="shared" ref="K7:L7" si="3">J7</f>
        <v>132.5</v>
      </c>
      <c r="L7" s="173">
        <f t="shared" si="3"/>
        <v>132.5</v>
      </c>
      <c r="M7" s="173">
        <f>Tulud75!N8</f>
        <v>132.5</v>
      </c>
      <c r="N7" s="173">
        <f>M7</f>
        <v>132.5</v>
      </c>
      <c r="O7" s="173">
        <f t="shared" ref="O7:R8" si="4">N7</f>
        <v>132.5</v>
      </c>
      <c r="P7" s="173">
        <f t="shared" si="4"/>
        <v>132.5</v>
      </c>
      <c r="Q7" s="173">
        <f t="shared" si="4"/>
        <v>132.5</v>
      </c>
      <c r="R7" s="173">
        <f t="shared" si="4"/>
        <v>132.5</v>
      </c>
      <c r="S7" s="163"/>
      <c r="T7" s="163"/>
    </row>
    <row r="8" spans="1:20" ht="15.75" customHeight="1" x14ac:dyDescent="0.35">
      <c r="A8" s="782"/>
      <c r="B8" s="171" t="s">
        <v>0</v>
      </c>
      <c r="C8" s="172" t="s">
        <v>531</v>
      </c>
      <c r="D8" s="173"/>
      <c r="E8" s="173"/>
      <c r="F8" s="173">
        <f>Tulud25!E8*4</f>
        <v>20</v>
      </c>
      <c r="G8" s="173">
        <f>Tulud25!E8*12</f>
        <v>60</v>
      </c>
      <c r="H8" s="173">
        <f t="shared" ref="H8:L8" si="5">G8</f>
        <v>60</v>
      </c>
      <c r="I8" s="173">
        <f>H8</f>
        <v>60</v>
      </c>
      <c r="J8" s="173">
        <f t="shared" si="5"/>
        <v>60</v>
      </c>
      <c r="K8" s="173">
        <f t="shared" si="5"/>
        <v>60</v>
      </c>
      <c r="L8" s="173">
        <f t="shared" si="5"/>
        <v>60</v>
      </c>
      <c r="M8" s="173">
        <f t="shared" ref="M8" si="6">L8</f>
        <v>60</v>
      </c>
      <c r="N8" s="173">
        <f t="shared" ref="N8" si="7">M8</f>
        <v>60</v>
      </c>
      <c r="O8" s="173">
        <f t="shared" si="4"/>
        <v>60</v>
      </c>
      <c r="P8" s="173">
        <f t="shared" si="4"/>
        <v>60</v>
      </c>
      <c r="Q8" s="173">
        <f t="shared" si="4"/>
        <v>60</v>
      </c>
      <c r="R8" s="173">
        <f t="shared" si="4"/>
        <v>60</v>
      </c>
      <c r="S8" s="163"/>
      <c r="T8" s="163"/>
    </row>
    <row r="9" spans="1:20" ht="15.75" customHeight="1" x14ac:dyDescent="0.35">
      <c r="A9" s="782"/>
      <c r="B9" s="175" t="s">
        <v>1</v>
      </c>
      <c r="C9" s="176" t="s">
        <v>3</v>
      </c>
      <c r="D9" s="174">
        <f t="shared" ref="D9:L9" si="8">D7*D8</f>
        <v>0</v>
      </c>
      <c r="E9" s="174">
        <f t="shared" si="8"/>
        <v>0</v>
      </c>
      <c r="F9" s="174">
        <f t="shared" si="8"/>
        <v>2650</v>
      </c>
      <c r="G9" s="174">
        <f t="shared" si="8"/>
        <v>7950</v>
      </c>
      <c r="H9" s="174">
        <f t="shared" si="8"/>
        <v>7950</v>
      </c>
      <c r="I9" s="174">
        <f t="shared" si="8"/>
        <v>7950</v>
      </c>
      <c r="J9" s="174">
        <f t="shared" si="8"/>
        <v>7950</v>
      </c>
      <c r="K9" s="174">
        <f t="shared" si="8"/>
        <v>7950</v>
      </c>
      <c r="L9" s="174">
        <f t="shared" si="8"/>
        <v>7950</v>
      </c>
      <c r="M9" s="174">
        <f t="shared" ref="M9" si="9">M7*M8</f>
        <v>7950</v>
      </c>
      <c r="N9" s="174">
        <f t="shared" ref="N9" si="10">N7*N8</f>
        <v>7950</v>
      </c>
      <c r="O9" s="174">
        <f t="shared" ref="O9" si="11">O7*O8</f>
        <v>7950</v>
      </c>
      <c r="P9" s="174">
        <f t="shared" ref="P9" si="12">P7*P8</f>
        <v>7950</v>
      </c>
      <c r="Q9" s="174">
        <f t="shared" ref="Q9" si="13">Q7*Q8</f>
        <v>7950</v>
      </c>
      <c r="R9" s="174">
        <f t="shared" ref="R9" si="14">R7*R8</f>
        <v>7950</v>
      </c>
      <c r="S9" s="163"/>
      <c r="T9" s="163"/>
    </row>
    <row r="10" spans="1:20" ht="4.5" customHeight="1" x14ac:dyDescent="0.35">
      <c r="A10" s="177"/>
      <c r="B10" s="178"/>
      <c r="C10" s="179"/>
      <c r="D10" s="179"/>
      <c r="E10" s="179"/>
      <c r="F10" s="179"/>
      <c r="G10" s="179"/>
      <c r="H10" s="179"/>
      <c r="I10" s="179"/>
      <c r="J10" s="179"/>
      <c r="K10" s="179"/>
      <c r="L10" s="179"/>
      <c r="M10" s="179"/>
      <c r="N10" s="179"/>
      <c r="O10" s="179"/>
      <c r="P10" s="179"/>
      <c r="Q10" s="179"/>
      <c r="R10" s="180"/>
      <c r="S10" s="163"/>
      <c r="T10" s="163"/>
    </row>
    <row r="11" spans="1:20" ht="15.5" x14ac:dyDescent="0.35">
      <c r="A11" s="782" t="s">
        <v>541</v>
      </c>
      <c r="B11" s="171" t="s">
        <v>345</v>
      </c>
      <c r="C11" s="172" t="s">
        <v>530</v>
      </c>
      <c r="D11" s="173"/>
      <c r="E11" s="173"/>
      <c r="F11" s="729">
        <f>Tulud25!N11</f>
        <v>273.39999999999998</v>
      </c>
      <c r="G11" s="173">
        <f>F11</f>
        <v>273.39999999999998</v>
      </c>
      <c r="H11" s="173">
        <f>G11</f>
        <v>273.39999999999998</v>
      </c>
      <c r="I11" s="173">
        <f>Tulud50!N11</f>
        <v>273.39999999999998</v>
      </c>
      <c r="J11" s="173">
        <f>I11</f>
        <v>273.39999999999998</v>
      </c>
      <c r="K11" s="173">
        <f t="shared" ref="K11:L12" si="15">J11</f>
        <v>273.39999999999998</v>
      </c>
      <c r="L11" s="173">
        <f t="shared" si="15"/>
        <v>273.39999999999998</v>
      </c>
      <c r="M11" s="173">
        <f>Tulud75!N11</f>
        <v>273.39999999999998</v>
      </c>
      <c r="N11" s="173">
        <f>M11</f>
        <v>273.39999999999998</v>
      </c>
      <c r="O11" s="173">
        <f t="shared" ref="O11:R12" si="16">N11</f>
        <v>273.39999999999998</v>
      </c>
      <c r="P11" s="173">
        <f t="shared" si="16"/>
        <v>273.39999999999998</v>
      </c>
      <c r="Q11" s="173">
        <f t="shared" si="16"/>
        <v>273.39999999999998</v>
      </c>
      <c r="R11" s="173">
        <f t="shared" si="16"/>
        <v>273.39999999999998</v>
      </c>
      <c r="S11" s="163"/>
      <c r="T11" s="163"/>
    </row>
    <row r="12" spans="1:20" x14ac:dyDescent="0.35">
      <c r="A12" s="782"/>
      <c r="B12" s="171" t="s">
        <v>0</v>
      </c>
      <c r="C12" s="172" t="s">
        <v>531</v>
      </c>
      <c r="D12" s="173"/>
      <c r="E12" s="173"/>
      <c r="F12" s="173">
        <f>Tulud25!E11*4</f>
        <v>28</v>
      </c>
      <c r="G12" s="173">
        <f>Tulud25!E11*12</f>
        <v>84</v>
      </c>
      <c r="H12" s="173">
        <f t="shared" ref="H12" si="17">G12</f>
        <v>84</v>
      </c>
      <c r="I12" s="173">
        <f t="shared" ref="I12" si="18">H12</f>
        <v>84</v>
      </c>
      <c r="J12" s="173">
        <f t="shared" ref="J12" si="19">I12</f>
        <v>84</v>
      </c>
      <c r="K12" s="173">
        <f t="shared" si="15"/>
        <v>84</v>
      </c>
      <c r="L12" s="173">
        <f t="shared" si="15"/>
        <v>84</v>
      </c>
      <c r="M12" s="173">
        <f t="shared" ref="M12" si="20">L12</f>
        <v>84</v>
      </c>
      <c r="N12" s="173">
        <f t="shared" ref="N12" si="21">M12</f>
        <v>84</v>
      </c>
      <c r="O12" s="173">
        <f t="shared" si="16"/>
        <v>84</v>
      </c>
      <c r="P12" s="173">
        <f t="shared" si="16"/>
        <v>84</v>
      </c>
      <c r="Q12" s="173">
        <f t="shared" si="16"/>
        <v>84</v>
      </c>
      <c r="R12" s="173">
        <f t="shared" si="16"/>
        <v>84</v>
      </c>
      <c r="S12" s="163"/>
      <c r="T12" s="163"/>
    </row>
    <row r="13" spans="1:20" x14ac:dyDescent="0.35">
      <c r="A13" s="782"/>
      <c r="B13" s="175" t="s">
        <v>1</v>
      </c>
      <c r="C13" s="176" t="s">
        <v>3</v>
      </c>
      <c r="D13" s="174">
        <f t="shared" ref="D13:L13" si="22">D11*D12</f>
        <v>0</v>
      </c>
      <c r="E13" s="174">
        <f t="shared" si="22"/>
        <v>0</v>
      </c>
      <c r="F13" s="174">
        <f t="shared" si="22"/>
        <v>7655.1999999999989</v>
      </c>
      <c r="G13" s="174">
        <f t="shared" si="22"/>
        <v>22965.599999999999</v>
      </c>
      <c r="H13" s="174">
        <f t="shared" si="22"/>
        <v>22965.599999999999</v>
      </c>
      <c r="I13" s="174">
        <f t="shared" si="22"/>
        <v>22965.599999999999</v>
      </c>
      <c r="J13" s="174">
        <f t="shared" si="22"/>
        <v>22965.599999999999</v>
      </c>
      <c r="K13" s="174">
        <f t="shared" si="22"/>
        <v>22965.599999999999</v>
      </c>
      <c r="L13" s="174">
        <f t="shared" si="22"/>
        <v>22965.599999999999</v>
      </c>
      <c r="M13" s="174">
        <f t="shared" ref="M13" si="23">M11*M12</f>
        <v>22965.599999999999</v>
      </c>
      <c r="N13" s="174">
        <f t="shared" ref="N13" si="24">N11*N12</f>
        <v>22965.599999999999</v>
      </c>
      <c r="O13" s="174">
        <f t="shared" ref="O13" si="25">O11*O12</f>
        <v>22965.599999999999</v>
      </c>
      <c r="P13" s="174">
        <f t="shared" ref="P13" si="26">P11*P12</f>
        <v>22965.599999999999</v>
      </c>
      <c r="Q13" s="174">
        <f t="shared" ref="Q13" si="27">Q11*Q12</f>
        <v>22965.599999999999</v>
      </c>
      <c r="R13" s="174">
        <f t="shared" ref="R13" si="28">R11*R12</f>
        <v>22965.599999999999</v>
      </c>
      <c r="S13" s="163"/>
      <c r="T13" s="163"/>
    </row>
    <row r="14" spans="1:20" ht="4.5" customHeight="1" x14ac:dyDescent="0.35">
      <c r="A14" s="177"/>
      <c r="B14" s="178"/>
      <c r="C14" s="179"/>
      <c r="D14" s="179"/>
      <c r="E14" s="179"/>
      <c r="F14" s="179"/>
      <c r="G14" s="179"/>
      <c r="H14" s="179"/>
      <c r="I14" s="179"/>
      <c r="J14" s="179"/>
      <c r="K14" s="179"/>
      <c r="L14" s="179"/>
      <c r="M14" s="179"/>
      <c r="N14" s="179"/>
      <c r="O14" s="179"/>
      <c r="P14" s="179"/>
      <c r="Q14" s="179"/>
      <c r="R14" s="180"/>
      <c r="S14" s="163"/>
      <c r="T14" s="163"/>
    </row>
    <row r="15" spans="1:20" ht="15.5" x14ac:dyDescent="0.35">
      <c r="A15" s="782" t="s">
        <v>540</v>
      </c>
      <c r="B15" s="171" t="s">
        <v>51</v>
      </c>
      <c r="C15" s="172" t="s">
        <v>530</v>
      </c>
      <c r="D15" s="173"/>
      <c r="E15" s="173"/>
      <c r="F15" s="729">
        <f>Tulud25!N13</f>
        <v>26.4</v>
      </c>
      <c r="G15" s="173">
        <f>F15</f>
        <v>26.4</v>
      </c>
      <c r="H15" s="173">
        <f>G15</f>
        <v>26.4</v>
      </c>
      <c r="I15" s="173">
        <f>Tulud50!N13</f>
        <v>52.8</v>
      </c>
      <c r="J15" s="173">
        <f>I15</f>
        <v>52.8</v>
      </c>
      <c r="K15" s="173">
        <f t="shared" ref="K15:L15" si="29">J15</f>
        <v>52.8</v>
      </c>
      <c r="L15" s="173">
        <f t="shared" si="29"/>
        <v>52.8</v>
      </c>
      <c r="M15" s="173">
        <f>Tulud75!N13</f>
        <v>79.199999999999989</v>
      </c>
      <c r="N15" s="173">
        <f>M15</f>
        <v>79.199999999999989</v>
      </c>
      <c r="O15" s="173">
        <f t="shared" ref="O15:R15" si="30">N15</f>
        <v>79.199999999999989</v>
      </c>
      <c r="P15" s="173">
        <f t="shared" si="30"/>
        <v>79.199999999999989</v>
      </c>
      <c r="Q15" s="173">
        <f t="shared" si="30"/>
        <v>79.199999999999989</v>
      </c>
      <c r="R15" s="173">
        <f t="shared" si="30"/>
        <v>79.199999999999989</v>
      </c>
      <c r="S15" s="163"/>
      <c r="T15" s="163"/>
    </row>
    <row r="16" spans="1:20" x14ac:dyDescent="0.35">
      <c r="A16" s="782"/>
      <c r="B16" s="171" t="s">
        <v>0</v>
      </c>
      <c r="C16" s="172" t="s">
        <v>531</v>
      </c>
      <c r="D16" s="173"/>
      <c r="E16" s="173"/>
      <c r="F16" s="173">
        <f>Tulud25!E13*4</f>
        <v>60</v>
      </c>
      <c r="G16" s="173">
        <f>Tulud25!E13*12</f>
        <v>180</v>
      </c>
      <c r="H16" s="173">
        <f t="shared" ref="H16:R16" si="31">G16</f>
        <v>180</v>
      </c>
      <c r="I16" s="173">
        <f t="shared" si="31"/>
        <v>180</v>
      </c>
      <c r="J16" s="173">
        <f t="shared" si="31"/>
        <v>180</v>
      </c>
      <c r="K16" s="173">
        <f t="shared" si="31"/>
        <v>180</v>
      </c>
      <c r="L16" s="173">
        <f t="shared" si="31"/>
        <v>180</v>
      </c>
      <c r="M16" s="173">
        <f t="shared" si="31"/>
        <v>180</v>
      </c>
      <c r="N16" s="173">
        <f t="shared" si="31"/>
        <v>180</v>
      </c>
      <c r="O16" s="173">
        <f t="shared" si="31"/>
        <v>180</v>
      </c>
      <c r="P16" s="173">
        <f t="shared" si="31"/>
        <v>180</v>
      </c>
      <c r="Q16" s="173">
        <f t="shared" si="31"/>
        <v>180</v>
      </c>
      <c r="R16" s="173">
        <f t="shared" si="31"/>
        <v>180</v>
      </c>
      <c r="S16" s="163"/>
      <c r="T16" s="163"/>
    </row>
    <row r="17" spans="1:20" x14ac:dyDescent="0.35">
      <c r="A17" s="782"/>
      <c r="B17" s="175" t="s">
        <v>1</v>
      </c>
      <c r="C17" s="176" t="s">
        <v>3</v>
      </c>
      <c r="D17" s="174">
        <f t="shared" ref="D17:L17" si="32">D15*D16</f>
        <v>0</v>
      </c>
      <c r="E17" s="174">
        <f t="shared" si="32"/>
        <v>0</v>
      </c>
      <c r="F17" s="174">
        <f t="shared" si="32"/>
        <v>1584</v>
      </c>
      <c r="G17" s="174">
        <f t="shared" si="32"/>
        <v>4752</v>
      </c>
      <c r="H17" s="174">
        <f t="shared" si="32"/>
        <v>4752</v>
      </c>
      <c r="I17" s="174">
        <f t="shared" si="32"/>
        <v>9504</v>
      </c>
      <c r="J17" s="174">
        <f t="shared" si="32"/>
        <v>9504</v>
      </c>
      <c r="K17" s="174">
        <f t="shared" si="32"/>
        <v>9504</v>
      </c>
      <c r="L17" s="174">
        <f t="shared" si="32"/>
        <v>9504</v>
      </c>
      <c r="M17" s="174">
        <f t="shared" ref="M17" si="33">M15*M16</f>
        <v>14255.999999999998</v>
      </c>
      <c r="N17" s="174">
        <f t="shared" ref="N17" si="34">N15*N16</f>
        <v>14255.999999999998</v>
      </c>
      <c r="O17" s="174">
        <f t="shared" ref="O17" si="35">O15*O16</f>
        <v>14255.999999999998</v>
      </c>
      <c r="P17" s="174">
        <f t="shared" ref="P17" si="36">P15*P16</f>
        <v>14255.999999999998</v>
      </c>
      <c r="Q17" s="174">
        <f t="shared" ref="Q17" si="37">Q15*Q16</f>
        <v>14255.999999999998</v>
      </c>
      <c r="R17" s="174">
        <f t="shared" ref="R17" si="38">R15*R16</f>
        <v>14255.999999999998</v>
      </c>
      <c r="S17" s="163"/>
      <c r="T17" s="163"/>
    </row>
    <row r="18" spans="1:20" ht="4.5" customHeight="1" x14ac:dyDescent="0.35">
      <c r="A18" s="177"/>
      <c r="B18" s="178"/>
      <c r="C18" s="179"/>
      <c r="D18" s="179"/>
      <c r="E18" s="179"/>
      <c r="F18" s="179"/>
      <c r="G18" s="179"/>
      <c r="H18" s="179"/>
      <c r="I18" s="179"/>
      <c r="J18" s="179"/>
      <c r="K18" s="179"/>
      <c r="L18" s="179"/>
      <c r="M18" s="179"/>
      <c r="N18" s="179"/>
      <c r="O18" s="179"/>
      <c r="P18" s="179"/>
      <c r="Q18" s="179"/>
      <c r="R18" s="180"/>
      <c r="S18" s="163"/>
      <c r="T18" s="163"/>
    </row>
    <row r="19" spans="1:20" x14ac:dyDescent="0.35">
      <c r="A19" s="782" t="s">
        <v>527</v>
      </c>
      <c r="B19" s="171" t="s">
        <v>52</v>
      </c>
      <c r="C19" s="172" t="s">
        <v>532</v>
      </c>
      <c r="D19" s="173"/>
      <c r="E19" s="173"/>
      <c r="F19" s="173">
        <f>Tulud25!R14</f>
        <v>3</v>
      </c>
      <c r="G19" s="173">
        <f>F19</f>
        <v>3</v>
      </c>
      <c r="H19" s="173">
        <f>G19</f>
        <v>3</v>
      </c>
      <c r="I19" s="173">
        <f>Tulud50!R14</f>
        <v>6</v>
      </c>
      <c r="J19" s="173">
        <f>I19</f>
        <v>6</v>
      </c>
      <c r="K19" s="173">
        <f t="shared" ref="K19:L19" si="39">J19</f>
        <v>6</v>
      </c>
      <c r="L19" s="173">
        <f t="shared" si="39"/>
        <v>6</v>
      </c>
      <c r="M19" s="173">
        <f>Tulud75!R14</f>
        <v>9</v>
      </c>
      <c r="N19" s="173">
        <f>M19</f>
        <v>9</v>
      </c>
      <c r="O19" s="173">
        <f t="shared" ref="O19:R19" si="40">N19</f>
        <v>9</v>
      </c>
      <c r="P19" s="173">
        <f t="shared" si="40"/>
        <v>9</v>
      </c>
      <c r="Q19" s="173">
        <f t="shared" si="40"/>
        <v>9</v>
      </c>
      <c r="R19" s="173">
        <f t="shared" si="40"/>
        <v>9</v>
      </c>
      <c r="S19" s="163"/>
      <c r="T19" s="163"/>
    </row>
    <row r="20" spans="1:20" x14ac:dyDescent="0.35">
      <c r="A20" s="782"/>
      <c r="B20" s="171" t="s">
        <v>0</v>
      </c>
      <c r="C20" s="172" t="s">
        <v>533</v>
      </c>
      <c r="D20" s="173"/>
      <c r="E20" s="173"/>
      <c r="F20" s="173">
        <f>Tulud25!E14*21*4</f>
        <v>1260</v>
      </c>
      <c r="G20" s="173">
        <f>Tulud25!E14*21*12</f>
        <v>3780</v>
      </c>
      <c r="H20" s="173">
        <f t="shared" ref="H20:R20" si="41">G20</f>
        <v>3780</v>
      </c>
      <c r="I20" s="173">
        <f t="shared" si="41"/>
        <v>3780</v>
      </c>
      <c r="J20" s="173">
        <f t="shared" si="41"/>
        <v>3780</v>
      </c>
      <c r="K20" s="173">
        <f t="shared" si="41"/>
        <v>3780</v>
      </c>
      <c r="L20" s="173">
        <f t="shared" si="41"/>
        <v>3780</v>
      </c>
      <c r="M20" s="173">
        <f t="shared" si="41"/>
        <v>3780</v>
      </c>
      <c r="N20" s="173">
        <f t="shared" si="41"/>
        <v>3780</v>
      </c>
      <c r="O20" s="173">
        <f t="shared" si="41"/>
        <v>3780</v>
      </c>
      <c r="P20" s="173">
        <f t="shared" si="41"/>
        <v>3780</v>
      </c>
      <c r="Q20" s="173">
        <f t="shared" si="41"/>
        <v>3780</v>
      </c>
      <c r="R20" s="173">
        <f t="shared" si="41"/>
        <v>3780</v>
      </c>
      <c r="S20" s="163"/>
      <c r="T20" s="163"/>
    </row>
    <row r="21" spans="1:20" x14ac:dyDescent="0.35">
      <c r="A21" s="782"/>
      <c r="B21" s="175" t="s">
        <v>1</v>
      </c>
      <c r="C21" s="176" t="s">
        <v>3</v>
      </c>
      <c r="D21" s="174">
        <f t="shared" ref="D21:L21" si="42">D19*D20</f>
        <v>0</v>
      </c>
      <c r="E21" s="174">
        <f t="shared" si="42"/>
        <v>0</v>
      </c>
      <c r="F21" s="174">
        <f t="shared" si="42"/>
        <v>3780</v>
      </c>
      <c r="G21" s="174">
        <f t="shared" si="42"/>
        <v>11340</v>
      </c>
      <c r="H21" s="174">
        <f t="shared" si="42"/>
        <v>11340</v>
      </c>
      <c r="I21" s="174">
        <f t="shared" si="42"/>
        <v>22680</v>
      </c>
      <c r="J21" s="174">
        <f t="shared" si="42"/>
        <v>22680</v>
      </c>
      <c r="K21" s="174">
        <f t="shared" si="42"/>
        <v>22680</v>
      </c>
      <c r="L21" s="174">
        <f t="shared" si="42"/>
        <v>22680</v>
      </c>
      <c r="M21" s="174">
        <f t="shared" ref="M21" si="43">M19*M20</f>
        <v>34020</v>
      </c>
      <c r="N21" s="174">
        <f t="shared" ref="N21" si="44">N19*N20</f>
        <v>34020</v>
      </c>
      <c r="O21" s="174">
        <f t="shared" ref="O21" si="45">O19*O20</f>
        <v>34020</v>
      </c>
      <c r="P21" s="174">
        <f t="shared" ref="P21" si="46">P19*P20</f>
        <v>34020</v>
      </c>
      <c r="Q21" s="174">
        <f t="shared" ref="Q21" si="47">Q19*Q20</f>
        <v>34020</v>
      </c>
      <c r="R21" s="174">
        <f t="shared" ref="R21" si="48">R19*R20</f>
        <v>34020</v>
      </c>
      <c r="S21" s="163"/>
      <c r="T21" s="163"/>
    </row>
    <row r="22" spans="1:20" ht="4.5" customHeight="1" x14ac:dyDescent="0.35">
      <c r="A22" s="177"/>
      <c r="B22" s="178"/>
      <c r="C22" s="179"/>
      <c r="D22" s="179"/>
      <c r="E22" s="179"/>
      <c r="F22" s="179"/>
      <c r="G22" s="179"/>
      <c r="H22" s="179"/>
      <c r="I22" s="179"/>
      <c r="J22" s="179"/>
      <c r="K22" s="179"/>
      <c r="L22" s="179"/>
      <c r="M22" s="179"/>
      <c r="N22" s="179"/>
      <c r="O22" s="179"/>
      <c r="P22" s="179"/>
      <c r="Q22" s="179"/>
      <c r="R22" s="180"/>
      <c r="S22" s="163"/>
      <c r="T22" s="163"/>
    </row>
    <row r="23" spans="1:20" ht="15.5" x14ac:dyDescent="0.35">
      <c r="A23" s="782" t="s">
        <v>539</v>
      </c>
      <c r="B23" s="171" t="s">
        <v>53</v>
      </c>
      <c r="C23" s="172" t="s">
        <v>530</v>
      </c>
      <c r="D23" s="173"/>
      <c r="E23" s="173"/>
      <c r="F23" s="729">
        <f>Tulud25!N16</f>
        <v>265.60000000000002</v>
      </c>
      <c r="G23" s="173">
        <f>F23</f>
        <v>265.60000000000002</v>
      </c>
      <c r="H23" s="173">
        <f>G23</f>
        <v>265.60000000000002</v>
      </c>
      <c r="I23" s="173">
        <f>Tulud50!N16</f>
        <v>265.60000000000002</v>
      </c>
      <c r="J23" s="173">
        <f>I23</f>
        <v>265.60000000000002</v>
      </c>
      <c r="K23" s="173">
        <f t="shared" ref="K23:L23" si="49">J23</f>
        <v>265.60000000000002</v>
      </c>
      <c r="L23" s="173">
        <f t="shared" si="49"/>
        <v>265.60000000000002</v>
      </c>
      <c r="M23" s="173">
        <f>Tulud75!N16</f>
        <v>265.60000000000002</v>
      </c>
      <c r="N23" s="173">
        <f>M23</f>
        <v>265.60000000000002</v>
      </c>
      <c r="O23" s="173">
        <f t="shared" ref="O23:R23" si="50">N23</f>
        <v>265.60000000000002</v>
      </c>
      <c r="P23" s="173">
        <f t="shared" si="50"/>
        <v>265.60000000000002</v>
      </c>
      <c r="Q23" s="173">
        <f t="shared" si="50"/>
        <v>265.60000000000002</v>
      </c>
      <c r="R23" s="173">
        <f t="shared" si="50"/>
        <v>265.60000000000002</v>
      </c>
      <c r="S23" s="163"/>
      <c r="T23" s="163"/>
    </row>
    <row r="24" spans="1:20" x14ac:dyDescent="0.35">
      <c r="A24" s="782"/>
      <c r="B24" s="171" t="s">
        <v>0</v>
      </c>
      <c r="C24" s="172" t="s">
        <v>531</v>
      </c>
      <c r="D24" s="173"/>
      <c r="E24" s="173"/>
      <c r="F24" s="173">
        <f>Tulud25!E16*4</f>
        <v>28</v>
      </c>
      <c r="G24" s="173">
        <f>Tulud25!E16*12</f>
        <v>84</v>
      </c>
      <c r="H24" s="173">
        <f t="shared" ref="H24:R24" si="51">G24</f>
        <v>84</v>
      </c>
      <c r="I24" s="173">
        <f t="shared" si="51"/>
        <v>84</v>
      </c>
      <c r="J24" s="173">
        <f t="shared" si="51"/>
        <v>84</v>
      </c>
      <c r="K24" s="173">
        <f t="shared" si="51"/>
        <v>84</v>
      </c>
      <c r="L24" s="173">
        <f t="shared" si="51"/>
        <v>84</v>
      </c>
      <c r="M24" s="173">
        <f t="shared" si="51"/>
        <v>84</v>
      </c>
      <c r="N24" s="173">
        <f t="shared" si="51"/>
        <v>84</v>
      </c>
      <c r="O24" s="173">
        <f t="shared" si="51"/>
        <v>84</v>
      </c>
      <c r="P24" s="173">
        <f t="shared" si="51"/>
        <v>84</v>
      </c>
      <c r="Q24" s="173">
        <f t="shared" si="51"/>
        <v>84</v>
      </c>
      <c r="R24" s="173">
        <f t="shared" si="51"/>
        <v>84</v>
      </c>
      <c r="S24" s="163"/>
      <c r="T24" s="163"/>
    </row>
    <row r="25" spans="1:20" x14ac:dyDescent="0.35">
      <c r="A25" s="782"/>
      <c r="B25" s="175" t="s">
        <v>1</v>
      </c>
      <c r="C25" s="176" t="s">
        <v>3</v>
      </c>
      <c r="D25" s="174">
        <f t="shared" ref="D25:F25" si="52">D23*D24</f>
        <v>0</v>
      </c>
      <c r="E25" s="174">
        <f t="shared" si="52"/>
        <v>0</v>
      </c>
      <c r="F25" s="174">
        <f t="shared" si="52"/>
        <v>7436.8000000000011</v>
      </c>
      <c r="G25" s="174">
        <f t="shared" ref="G25:R25" si="53">G23*G24</f>
        <v>22310.400000000001</v>
      </c>
      <c r="H25" s="174">
        <f t="shared" si="53"/>
        <v>22310.400000000001</v>
      </c>
      <c r="I25" s="174">
        <f t="shared" si="53"/>
        <v>22310.400000000001</v>
      </c>
      <c r="J25" s="174">
        <f t="shared" si="53"/>
        <v>22310.400000000001</v>
      </c>
      <c r="K25" s="174">
        <f t="shared" si="53"/>
        <v>22310.400000000001</v>
      </c>
      <c r="L25" s="174">
        <f t="shared" si="53"/>
        <v>22310.400000000001</v>
      </c>
      <c r="M25" s="174">
        <f t="shared" si="53"/>
        <v>22310.400000000001</v>
      </c>
      <c r="N25" s="174">
        <f t="shared" si="53"/>
        <v>22310.400000000001</v>
      </c>
      <c r="O25" s="174">
        <f t="shared" si="53"/>
        <v>22310.400000000001</v>
      </c>
      <c r="P25" s="174">
        <f t="shared" si="53"/>
        <v>22310.400000000001</v>
      </c>
      <c r="Q25" s="174">
        <f t="shared" si="53"/>
        <v>22310.400000000001</v>
      </c>
      <c r="R25" s="174">
        <f t="shared" si="53"/>
        <v>22310.400000000001</v>
      </c>
      <c r="S25" s="163"/>
      <c r="T25" s="163"/>
    </row>
    <row r="26" spans="1:20" ht="4.5" customHeight="1" x14ac:dyDescent="0.35">
      <c r="A26" s="177"/>
      <c r="B26" s="178"/>
      <c r="C26" s="179"/>
      <c r="D26" s="179"/>
      <c r="E26" s="179"/>
      <c r="F26" s="179"/>
      <c r="G26" s="179"/>
      <c r="H26" s="179"/>
      <c r="I26" s="179"/>
      <c r="J26" s="179"/>
      <c r="K26" s="179"/>
      <c r="L26" s="179"/>
      <c r="M26" s="179"/>
      <c r="N26" s="179"/>
      <c r="O26" s="179"/>
      <c r="P26" s="179"/>
      <c r="Q26" s="179"/>
      <c r="R26" s="180"/>
      <c r="S26" s="163"/>
      <c r="T26" s="163"/>
    </row>
    <row r="27" spans="1:20" ht="15.5" x14ac:dyDescent="0.35">
      <c r="A27" s="782" t="s">
        <v>536</v>
      </c>
      <c r="B27" s="171" t="s">
        <v>54</v>
      </c>
      <c r="C27" s="172" t="s">
        <v>530</v>
      </c>
      <c r="D27" s="173"/>
      <c r="E27" s="173"/>
      <c r="F27" s="729">
        <f>Tulud25!N17</f>
        <v>15.8</v>
      </c>
      <c r="G27" s="173">
        <f>F27</f>
        <v>15.8</v>
      </c>
      <c r="H27" s="173">
        <f>G27</f>
        <v>15.8</v>
      </c>
      <c r="I27" s="173">
        <f>Tulud50!N17</f>
        <v>15.8</v>
      </c>
      <c r="J27" s="173">
        <f>I27</f>
        <v>15.8</v>
      </c>
      <c r="K27" s="173">
        <f t="shared" ref="K27:L27" si="54">J27</f>
        <v>15.8</v>
      </c>
      <c r="L27" s="173">
        <f t="shared" si="54"/>
        <v>15.8</v>
      </c>
      <c r="M27" s="173">
        <f>Tulud75!N17</f>
        <v>15.8</v>
      </c>
      <c r="N27" s="173">
        <f>M27</f>
        <v>15.8</v>
      </c>
      <c r="O27" s="173">
        <f t="shared" ref="O27:R27" si="55">N27</f>
        <v>15.8</v>
      </c>
      <c r="P27" s="173">
        <f t="shared" si="55"/>
        <v>15.8</v>
      </c>
      <c r="Q27" s="173">
        <f t="shared" si="55"/>
        <v>15.8</v>
      </c>
      <c r="R27" s="173">
        <f t="shared" si="55"/>
        <v>15.8</v>
      </c>
      <c r="S27" s="163"/>
      <c r="T27" s="163"/>
    </row>
    <row r="28" spans="1:20" x14ac:dyDescent="0.35">
      <c r="A28" s="782"/>
      <c r="B28" s="171" t="s">
        <v>0</v>
      </c>
      <c r="C28" s="172" t="s">
        <v>531</v>
      </c>
      <c r="D28" s="173"/>
      <c r="E28" s="173"/>
      <c r="F28" s="173">
        <f>Tulud25!E17*4</f>
        <v>28</v>
      </c>
      <c r="G28" s="173">
        <f>Tulud25!E17*12</f>
        <v>84</v>
      </c>
      <c r="H28" s="173">
        <f t="shared" ref="H28:R28" si="56">G28</f>
        <v>84</v>
      </c>
      <c r="I28" s="173">
        <f t="shared" si="56"/>
        <v>84</v>
      </c>
      <c r="J28" s="173">
        <f t="shared" si="56"/>
        <v>84</v>
      </c>
      <c r="K28" s="173">
        <f t="shared" si="56"/>
        <v>84</v>
      </c>
      <c r="L28" s="173">
        <f t="shared" si="56"/>
        <v>84</v>
      </c>
      <c r="M28" s="173">
        <f t="shared" si="56"/>
        <v>84</v>
      </c>
      <c r="N28" s="173">
        <f t="shared" si="56"/>
        <v>84</v>
      </c>
      <c r="O28" s="173">
        <f t="shared" si="56"/>
        <v>84</v>
      </c>
      <c r="P28" s="173">
        <f t="shared" si="56"/>
        <v>84</v>
      </c>
      <c r="Q28" s="173">
        <f t="shared" si="56"/>
        <v>84</v>
      </c>
      <c r="R28" s="173">
        <f t="shared" si="56"/>
        <v>84</v>
      </c>
      <c r="S28" s="163"/>
      <c r="T28" s="163"/>
    </row>
    <row r="29" spans="1:20" x14ac:dyDescent="0.35">
      <c r="A29" s="782"/>
      <c r="B29" s="175" t="s">
        <v>1</v>
      </c>
      <c r="C29" s="176" t="s">
        <v>3</v>
      </c>
      <c r="D29" s="174">
        <f t="shared" ref="D29:L29" si="57">D27*D28</f>
        <v>0</v>
      </c>
      <c r="E29" s="174">
        <f t="shared" si="57"/>
        <v>0</v>
      </c>
      <c r="F29" s="174">
        <f t="shared" si="57"/>
        <v>442.40000000000003</v>
      </c>
      <c r="G29" s="174">
        <f t="shared" si="57"/>
        <v>1327.2</v>
      </c>
      <c r="H29" s="174">
        <f t="shared" si="57"/>
        <v>1327.2</v>
      </c>
      <c r="I29" s="174">
        <f t="shared" si="57"/>
        <v>1327.2</v>
      </c>
      <c r="J29" s="174">
        <f t="shared" si="57"/>
        <v>1327.2</v>
      </c>
      <c r="K29" s="174">
        <f t="shared" si="57"/>
        <v>1327.2</v>
      </c>
      <c r="L29" s="174">
        <f t="shared" si="57"/>
        <v>1327.2</v>
      </c>
      <c r="M29" s="174">
        <f t="shared" ref="M29" si="58">M27*M28</f>
        <v>1327.2</v>
      </c>
      <c r="N29" s="174">
        <f t="shared" ref="N29" si="59">N27*N28</f>
        <v>1327.2</v>
      </c>
      <c r="O29" s="174">
        <f t="shared" ref="O29" si="60">O27*O28</f>
        <v>1327.2</v>
      </c>
      <c r="P29" s="174">
        <f t="shared" ref="P29" si="61">P27*P28</f>
        <v>1327.2</v>
      </c>
      <c r="Q29" s="174">
        <f t="shared" ref="Q29" si="62">Q27*Q28</f>
        <v>1327.2</v>
      </c>
      <c r="R29" s="174">
        <f t="shared" ref="R29" si="63">R27*R28</f>
        <v>1327.2</v>
      </c>
      <c r="S29" s="163"/>
      <c r="T29" s="163"/>
    </row>
    <row r="30" spans="1:20" ht="4.5" customHeight="1" x14ac:dyDescent="0.35">
      <c r="A30" s="177"/>
      <c r="B30" s="178"/>
      <c r="C30" s="179"/>
      <c r="D30" s="179"/>
      <c r="E30" s="179"/>
      <c r="F30" s="179"/>
      <c r="G30" s="179"/>
      <c r="H30" s="179"/>
      <c r="I30" s="179"/>
      <c r="J30" s="179"/>
      <c r="K30" s="179"/>
      <c r="L30" s="179"/>
      <c r="M30" s="179"/>
      <c r="N30" s="179"/>
      <c r="O30" s="179"/>
      <c r="P30" s="179"/>
      <c r="Q30" s="179"/>
      <c r="R30" s="180"/>
      <c r="S30" s="163"/>
      <c r="T30" s="163"/>
    </row>
    <row r="31" spans="1:20" ht="15.5" x14ac:dyDescent="0.35">
      <c r="A31" s="782" t="s">
        <v>528</v>
      </c>
      <c r="B31" s="171" t="s">
        <v>55</v>
      </c>
      <c r="C31" s="172" t="s">
        <v>530</v>
      </c>
      <c r="D31" s="173"/>
      <c r="E31" s="173"/>
      <c r="F31" s="729">
        <f>Tulud25!N19</f>
        <v>27.975000000000001</v>
      </c>
      <c r="G31" s="173">
        <f>F31</f>
        <v>27.975000000000001</v>
      </c>
      <c r="H31" s="173">
        <f>G31</f>
        <v>27.975000000000001</v>
      </c>
      <c r="I31" s="173">
        <f>Tulud50!N19</f>
        <v>55.95</v>
      </c>
      <c r="J31" s="173">
        <f>I31</f>
        <v>55.95</v>
      </c>
      <c r="K31" s="173">
        <f t="shared" ref="K31:L31" si="64">J31</f>
        <v>55.95</v>
      </c>
      <c r="L31" s="173">
        <f t="shared" si="64"/>
        <v>55.95</v>
      </c>
      <c r="M31" s="173">
        <f>Tulud75!N19</f>
        <v>83.925000000000011</v>
      </c>
      <c r="N31" s="173">
        <f>M31</f>
        <v>83.925000000000011</v>
      </c>
      <c r="O31" s="173">
        <f t="shared" ref="O31:R31" si="65">N31</f>
        <v>83.925000000000011</v>
      </c>
      <c r="P31" s="173">
        <f t="shared" si="65"/>
        <v>83.925000000000011</v>
      </c>
      <c r="Q31" s="173">
        <f t="shared" si="65"/>
        <v>83.925000000000011</v>
      </c>
      <c r="R31" s="173">
        <f t="shared" si="65"/>
        <v>83.925000000000011</v>
      </c>
      <c r="S31" s="163"/>
      <c r="T31" s="163"/>
    </row>
    <row r="32" spans="1:20" x14ac:dyDescent="0.35">
      <c r="A32" s="782"/>
      <c r="B32" s="171" t="s">
        <v>0</v>
      </c>
      <c r="C32" s="172" t="s">
        <v>531</v>
      </c>
      <c r="D32" s="173"/>
      <c r="E32" s="173"/>
      <c r="F32" s="173">
        <f>Tulud25!E19*4</f>
        <v>220</v>
      </c>
      <c r="G32" s="173">
        <f>Tulud25!E19*12</f>
        <v>660</v>
      </c>
      <c r="H32" s="173">
        <f t="shared" ref="H32:R32" si="66">G32</f>
        <v>660</v>
      </c>
      <c r="I32" s="173">
        <f t="shared" si="66"/>
        <v>660</v>
      </c>
      <c r="J32" s="173">
        <f t="shared" si="66"/>
        <v>660</v>
      </c>
      <c r="K32" s="173">
        <f t="shared" si="66"/>
        <v>660</v>
      </c>
      <c r="L32" s="173">
        <f t="shared" si="66"/>
        <v>660</v>
      </c>
      <c r="M32" s="173">
        <f t="shared" si="66"/>
        <v>660</v>
      </c>
      <c r="N32" s="173">
        <f t="shared" si="66"/>
        <v>660</v>
      </c>
      <c r="O32" s="173">
        <f t="shared" si="66"/>
        <v>660</v>
      </c>
      <c r="P32" s="173">
        <f t="shared" si="66"/>
        <v>660</v>
      </c>
      <c r="Q32" s="173">
        <f t="shared" si="66"/>
        <v>660</v>
      </c>
      <c r="R32" s="173">
        <f t="shared" si="66"/>
        <v>660</v>
      </c>
      <c r="S32" s="163"/>
      <c r="T32" s="163"/>
    </row>
    <row r="33" spans="1:20" x14ac:dyDescent="0.35">
      <c r="A33" s="782"/>
      <c r="B33" s="175" t="s">
        <v>1</v>
      </c>
      <c r="C33" s="176" t="s">
        <v>3</v>
      </c>
      <c r="D33" s="174">
        <f t="shared" ref="D33:L33" si="67">D31*D32</f>
        <v>0</v>
      </c>
      <c r="E33" s="174">
        <f t="shared" si="67"/>
        <v>0</v>
      </c>
      <c r="F33" s="174">
        <f t="shared" si="67"/>
        <v>6154.5</v>
      </c>
      <c r="G33" s="174">
        <f t="shared" si="67"/>
        <v>18463.5</v>
      </c>
      <c r="H33" s="174">
        <f t="shared" si="67"/>
        <v>18463.5</v>
      </c>
      <c r="I33" s="174">
        <f t="shared" si="67"/>
        <v>36927</v>
      </c>
      <c r="J33" s="174">
        <f t="shared" si="67"/>
        <v>36927</v>
      </c>
      <c r="K33" s="174">
        <f t="shared" si="67"/>
        <v>36927</v>
      </c>
      <c r="L33" s="174">
        <f t="shared" si="67"/>
        <v>36927</v>
      </c>
      <c r="M33" s="174">
        <f t="shared" ref="M33" si="68">M31*M32</f>
        <v>55390.500000000007</v>
      </c>
      <c r="N33" s="174">
        <f t="shared" ref="N33" si="69">N31*N32</f>
        <v>55390.500000000007</v>
      </c>
      <c r="O33" s="174">
        <f t="shared" ref="O33" si="70">O31*O32</f>
        <v>55390.500000000007</v>
      </c>
      <c r="P33" s="174">
        <f t="shared" ref="P33" si="71">P31*P32</f>
        <v>55390.500000000007</v>
      </c>
      <c r="Q33" s="174">
        <f t="shared" ref="Q33" si="72">Q31*Q32</f>
        <v>55390.500000000007</v>
      </c>
      <c r="R33" s="174">
        <f t="shared" ref="R33" si="73">R31*R32</f>
        <v>55390.500000000007</v>
      </c>
      <c r="S33" s="163"/>
      <c r="T33" s="163"/>
    </row>
    <row r="34" spans="1:20" ht="4.5" customHeight="1" x14ac:dyDescent="0.35">
      <c r="A34" s="177"/>
      <c r="B34" s="178"/>
      <c r="C34" s="179"/>
      <c r="D34" s="179"/>
      <c r="E34" s="179"/>
      <c r="F34" s="179"/>
      <c r="G34" s="179"/>
      <c r="H34" s="179"/>
      <c r="I34" s="179"/>
      <c r="J34" s="179"/>
      <c r="K34" s="179"/>
      <c r="L34" s="179"/>
      <c r="M34" s="179"/>
      <c r="N34" s="179"/>
      <c r="O34" s="179"/>
      <c r="P34" s="179"/>
      <c r="Q34" s="179"/>
      <c r="R34" s="180"/>
      <c r="S34" s="163"/>
      <c r="T34" s="163"/>
    </row>
    <row r="35" spans="1:20" ht="15.5" x14ac:dyDescent="0.35">
      <c r="A35" s="782" t="s">
        <v>542</v>
      </c>
      <c r="B35" s="171" t="s">
        <v>56</v>
      </c>
      <c r="C35" s="172" t="s">
        <v>530</v>
      </c>
      <c r="D35" s="173"/>
      <c r="E35" s="173"/>
      <c r="F35" s="729">
        <f>Tulud25!N20</f>
        <v>6.6</v>
      </c>
      <c r="G35" s="173">
        <f>F35</f>
        <v>6.6</v>
      </c>
      <c r="H35" s="173">
        <f>G35</f>
        <v>6.6</v>
      </c>
      <c r="I35" s="173">
        <f>Tulud50!N20</f>
        <v>13.2</v>
      </c>
      <c r="J35" s="173">
        <f>I35</f>
        <v>13.2</v>
      </c>
      <c r="K35" s="173">
        <f t="shared" ref="K35:L35" si="74">J35</f>
        <v>13.2</v>
      </c>
      <c r="L35" s="173">
        <f t="shared" si="74"/>
        <v>13.2</v>
      </c>
      <c r="M35" s="173">
        <f>Tulud75!N20</f>
        <v>19.799999999999997</v>
      </c>
      <c r="N35" s="173">
        <f>M35</f>
        <v>19.799999999999997</v>
      </c>
      <c r="O35" s="173">
        <f t="shared" ref="O35:R35" si="75">N35</f>
        <v>19.799999999999997</v>
      </c>
      <c r="P35" s="173">
        <f t="shared" si="75"/>
        <v>19.799999999999997</v>
      </c>
      <c r="Q35" s="173">
        <f t="shared" si="75"/>
        <v>19.799999999999997</v>
      </c>
      <c r="R35" s="173">
        <f t="shared" si="75"/>
        <v>19.799999999999997</v>
      </c>
      <c r="S35" s="163"/>
      <c r="T35" s="163"/>
    </row>
    <row r="36" spans="1:20" x14ac:dyDescent="0.35">
      <c r="A36" s="782"/>
      <c r="B36" s="171" t="s">
        <v>0</v>
      </c>
      <c r="C36" s="172" t="s">
        <v>531</v>
      </c>
      <c r="D36" s="173"/>
      <c r="E36" s="173"/>
      <c r="F36" s="173">
        <f>Tulud25!E20*4</f>
        <v>60</v>
      </c>
      <c r="G36" s="173">
        <f>Tulud25!E20*12</f>
        <v>180</v>
      </c>
      <c r="H36" s="173">
        <f t="shared" ref="H36:R36" si="76">G36</f>
        <v>180</v>
      </c>
      <c r="I36" s="173">
        <f t="shared" si="76"/>
        <v>180</v>
      </c>
      <c r="J36" s="173">
        <f t="shared" si="76"/>
        <v>180</v>
      </c>
      <c r="K36" s="173">
        <f t="shared" si="76"/>
        <v>180</v>
      </c>
      <c r="L36" s="173">
        <f t="shared" si="76"/>
        <v>180</v>
      </c>
      <c r="M36" s="173">
        <f t="shared" si="76"/>
        <v>180</v>
      </c>
      <c r="N36" s="173">
        <f t="shared" si="76"/>
        <v>180</v>
      </c>
      <c r="O36" s="173">
        <f t="shared" si="76"/>
        <v>180</v>
      </c>
      <c r="P36" s="173">
        <f t="shared" si="76"/>
        <v>180</v>
      </c>
      <c r="Q36" s="173">
        <f t="shared" si="76"/>
        <v>180</v>
      </c>
      <c r="R36" s="173">
        <f t="shared" si="76"/>
        <v>180</v>
      </c>
      <c r="S36" s="163"/>
      <c r="T36" s="163"/>
    </row>
    <row r="37" spans="1:20" x14ac:dyDescent="0.35">
      <c r="A37" s="782"/>
      <c r="B37" s="175" t="s">
        <v>1</v>
      </c>
      <c r="C37" s="176" t="s">
        <v>3</v>
      </c>
      <c r="D37" s="174">
        <f t="shared" ref="D37:L37" si="77">D35*D36</f>
        <v>0</v>
      </c>
      <c r="E37" s="174">
        <f t="shared" si="77"/>
        <v>0</v>
      </c>
      <c r="F37" s="174">
        <f t="shared" si="77"/>
        <v>396</v>
      </c>
      <c r="G37" s="174">
        <f t="shared" si="77"/>
        <v>1188</v>
      </c>
      <c r="H37" s="174">
        <f t="shared" si="77"/>
        <v>1188</v>
      </c>
      <c r="I37" s="174">
        <f t="shared" si="77"/>
        <v>2376</v>
      </c>
      <c r="J37" s="174">
        <f t="shared" si="77"/>
        <v>2376</v>
      </c>
      <c r="K37" s="174">
        <f t="shared" si="77"/>
        <v>2376</v>
      </c>
      <c r="L37" s="174">
        <f t="shared" si="77"/>
        <v>2376</v>
      </c>
      <c r="M37" s="174">
        <f t="shared" ref="M37" si="78">M35*M36</f>
        <v>3563.9999999999995</v>
      </c>
      <c r="N37" s="174">
        <f t="shared" ref="N37" si="79">N35*N36</f>
        <v>3563.9999999999995</v>
      </c>
      <c r="O37" s="174">
        <f t="shared" ref="O37" si="80">O35*O36</f>
        <v>3563.9999999999995</v>
      </c>
      <c r="P37" s="174">
        <f t="shared" ref="P37" si="81">P35*P36</f>
        <v>3563.9999999999995</v>
      </c>
      <c r="Q37" s="174">
        <f t="shared" ref="Q37" si="82">Q35*Q36</f>
        <v>3563.9999999999995</v>
      </c>
      <c r="R37" s="174">
        <f t="shared" ref="R37" si="83">R35*R36</f>
        <v>3563.9999999999995</v>
      </c>
      <c r="S37" s="163"/>
      <c r="T37" s="163"/>
    </row>
    <row r="38" spans="1:20" ht="4.5" hidden="1" customHeight="1" x14ac:dyDescent="0.35">
      <c r="A38" s="177"/>
      <c r="B38" s="178"/>
      <c r="C38" s="179"/>
      <c r="D38" s="179"/>
      <c r="E38" s="179"/>
      <c r="F38" s="179"/>
      <c r="G38" s="179"/>
      <c r="H38" s="179"/>
      <c r="I38" s="179"/>
      <c r="J38" s="179"/>
      <c r="K38" s="179"/>
      <c r="L38" s="179"/>
      <c r="M38" s="179"/>
      <c r="N38" s="179"/>
      <c r="O38" s="179"/>
      <c r="P38" s="179"/>
      <c r="Q38" s="179"/>
      <c r="R38" s="180"/>
      <c r="S38" s="163"/>
      <c r="T38" s="163"/>
    </row>
    <row r="39" spans="1:20" hidden="1" x14ac:dyDescent="0.35">
      <c r="A39" s="782"/>
      <c r="B39" s="171" t="s">
        <v>57</v>
      </c>
      <c r="C39" s="172" t="s">
        <v>534</v>
      </c>
      <c r="D39" s="173"/>
      <c r="E39" s="173"/>
      <c r="F39" s="173"/>
      <c r="G39" s="173"/>
      <c r="H39" s="173"/>
      <c r="I39" s="173"/>
      <c r="J39" s="173"/>
      <c r="K39" s="173"/>
      <c r="L39" s="173"/>
      <c r="M39" s="173"/>
      <c r="N39" s="173"/>
      <c r="O39" s="173"/>
      <c r="P39" s="173"/>
      <c r="Q39" s="173"/>
      <c r="R39" s="173"/>
      <c r="S39" s="163"/>
      <c r="T39" s="163"/>
    </row>
    <row r="40" spans="1:20" hidden="1" x14ac:dyDescent="0.35">
      <c r="A40" s="782"/>
      <c r="B40" s="171" t="s">
        <v>0</v>
      </c>
      <c r="C40" s="172" t="s">
        <v>535</v>
      </c>
      <c r="D40" s="173"/>
      <c r="E40" s="173"/>
      <c r="F40" s="173"/>
      <c r="G40" s="173"/>
      <c r="H40" s="173"/>
      <c r="I40" s="173"/>
      <c r="J40" s="173"/>
      <c r="K40" s="173"/>
      <c r="L40" s="173"/>
      <c r="M40" s="173"/>
      <c r="N40" s="173"/>
      <c r="O40" s="173"/>
      <c r="P40" s="173"/>
      <c r="Q40" s="173"/>
      <c r="R40" s="173"/>
      <c r="S40" s="163"/>
      <c r="T40" s="163"/>
    </row>
    <row r="41" spans="1:20" hidden="1" x14ac:dyDescent="0.35">
      <c r="A41" s="782"/>
      <c r="B41" s="175" t="s">
        <v>1</v>
      </c>
      <c r="C41" s="176" t="s">
        <v>3</v>
      </c>
      <c r="D41" s="174">
        <f t="shared" ref="D41:L41" si="84">D39*D40</f>
        <v>0</v>
      </c>
      <c r="E41" s="174">
        <f t="shared" si="84"/>
        <v>0</v>
      </c>
      <c r="F41" s="174">
        <f t="shared" si="84"/>
        <v>0</v>
      </c>
      <c r="G41" s="174">
        <f t="shared" si="84"/>
        <v>0</v>
      </c>
      <c r="H41" s="174">
        <f t="shared" si="84"/>
        <v>0</v>
      </c>
      <c r="I41" s="174">
        <f t="shared" si="84"/>
        <v>0</v>
      </c>
      <c r="J41" s="174">
        <f t="shared" si="84"/>
        <v>0</v>
      </c>
      <c r="K41" s="174">
        <f t="shared" si="84"/>
        <v>0</v>
      </c>
      <c r="L41" s="174">
        <f t="shared" si="84"/>
        <v>0</v>
      </c>
      <c r="M41" s="174">
        <f t="shared" ref="M41" si="85">M39*M40</f>
        <v>0</v>
      </c>
      <c r="N41" s="174">
        <f t="shared" ref="N41" si="86">N39*N40</f>
        <v>0</v>
      </c>
      <c r="O41" s="174">
        <f t="shared" ref="O41" si="87">O39*O40</f>
        <v>0</v>
      </c>
      <c r="P41" s="174">
        <f t="shared" ref="P41" si="88">P39*P40</f>
        <v>0</v>
      </c>
      <c r="Q41" s="174">
        <f t="shared" ref="Q41" si="89">Q39*Q40</f>
        <v>0</v>
      </c>
      <c r="R41" s="174">
        <f t="shared" ref="R41" si="90">R39*R40</f>
        <v>0</v>
      </c>
      <c r="S41" s="163"/>
      <c r="T41" s="163"/>
    </row>
    <row r="42" spans="1:20" ht="4.5" customHeight="1" x14ac:dyDescent="0.35">
      <c r="A42" s="177"/>
      <c r="B42" s="178"/>
      <c r="C42" s="179"/>
      <c r="D42" s="179"/>
      <c r="E42" s="179"/>
      <c r="F42" s="179"/>
      <c r="G42" s="179"/>
      <c r="H42" s="179"/>
      <c r="I42" s="179"/>
      <c r="J42" s="179"/>
      <c r="K42" s="179"/>
      <c r="L42" s="179"/>
      <c r="M42" s="179"/>
      <c r="N42" s="179"/>
      <c r="O42" s="179"/>
      <c r="P42" s="179"/>
      <c r="Q42" s="179"/>
      <c r="R42" s="180"/>
      <c r="S42" s="163"/>
      <c r="T42" s="163"/>
    </row>
    <row r="43" spans="1:20" x14ac:dyDescent="0.35">
      <c r="A43" s="782" t="str">
        <f>Tulud50!A35</f>
        <v>Arved üürnikele kommunaalkulude eest</v>
      </c>
      <c r="B43" s="171" t="s">
        <v>58</v>
      </c>
      <c r="C43" s="172" t="s">
        <v>534</v>
      </c>
      <c r="D43" s="173"/>
      <c r="E43" s="173"/>
      <c r="F43" s="173">
        <v>12</v>
      </c>
      <c r="G43" s="173">
        <v>12</v>
      </c>
      <c r="H43" s="173">
        <v>12</v>
      </c>
      <c r="I43" s="173">
        <v>12</v>
      </c>
      <c r="J43" s="173">
        <v>12</v>
      </c>
      <c r="K43" s="173">
        <v>12</v>
      </c>
      <c r="L43" s="173">
        <v>12</v>
      </c>
      <c r="M43" s="173">
        <v>12</v>
      </c>
      <c r="N43" s="173">
        <v>12</v>
      </c>
      <c r="O43" s="173">
        <v>12</v>
      </c>
      <c r="P43" s="173">
        <v>12</v>
      </c>
      <c r="Q43" s="173">
        <v>12</v>
      </c>
      <c r="R43" s="173">
        <v>12</v>
      </c>
      <c r="S43" s="163"/>
      <c r="T43" s="163"/>
    </row>
    <row r="44" spans="1:20" x14ac:dyDescent="0.35">
      <c r="A44" s="782"/>
      <c r="B44" s="171" t="s">
        <v>0</v>
      </c>
      <c r="C44" s="172" t="s">
        <v>535</v>
      </c>
      <c r="D44" s="173"/>
      <c r="E44" s="173"/>
      <c r="F44" s="173">
        <f>Tulud25!G47*4/12</f>
        <v>549.31285115547257</v>
      </c>
      <c r="G44" s="173">
        <f>Tulud25!G47</f>
        <v>1647.9385534664177</v>
      </c>
      <c r="H44" s="173">
        <f>G44</f>
        <v>1647.9385534664177</v>
      </c>
      <c r="I44" s="173">
        <f>Tulud50!G47</f>
        <v>1813.4770219132067</v>
      </c>
      <c r="J44" s="173">
        <f>I44</f>
        <v>1813.4770219132067</v>
      </c>
      <c r="K44" s="173">
        <f t="shared" ref="K44:L44" si="91">J44</f>
        <v>1813.4770219132067</v>
      </c>
      <c r="L44" s="173">
        <f t="shared" si="91"/>
        <v>1813.4770219132067</v>
      </c>
      <c r="M44" s="173">
        <f>Tulud75!G47</f>
        <v>1981.2899499846499</v>
      </c>
      <c r="N44" s="173">
        <f>M44</f>
        <v>1981.2899499846499</v>
      </c>
      <c r="O44" s="173">
        <f t="shared" ref="O44:R44" si="92">N44</f>
        <v>1981.2899499846499</v>
      </c>
      <c r="P44" s="173">
        <f t="shared" si="92"/>
        <v>1981.2899499846499</v>
      </c>
      <c r="Q44" s="173">
        <f t="shared" si="92"/>
        <v>1981.2899499846499</v>
      </c>
      <c r="R44" s="173">
        <f t="shared" si="92"/>
        <v>1981.2899499846499</v>
      </c>
      <c r="S44" s="163"/>
      <c r="T44" s="163"/>
    </row>
    <row r="45" spans="1:20" x14ac:dyDescent="0.35">
      <c r="A45" s="782"/>
      <c r="B45" s="175" t="s">
        <v>1</v>
      </c>
      <c r="C45" s="176" t="s">
        <v>3</v>
      </c>
      <c r="D45" s="174">
        <f t="shared" ref="D45:L45" si="93">D43*D44</f>
        <v>0</v>
      </c>
      <c r="E45" s="174">
        <f t="shared" si="93"/>
        <v>0</v>
      </c>
      <c r="F45" s="174">
        <f t="shared" si="93"/>
        <v>6591.7542138656709</v>
      </c>
      <c r="G45" s="174">
        <f t="shared" si="93"/>
        <v>19775.262641597012</v>
      </c>
      <c r="H45" s="174">
        <f t="shared" si="93"/>
        <v>19775.262641597012</v>
      </c>
      <c r="I45" s="174">
        <f t="shared" si="93"/>
        <v>21761.72426295848</v>
      </c>
      <c r="J45" s="174">
        <f t="shared" si="93"/>
        <v>21761.72426295848</v>
      </c>
      <c r="K45" s="174">
        <f t="shared" si="93"/>
        <v>21761.72426295848</v>
      </c>
      <c r="L45" s="174">
        <f t="shared" si="93"/>
        <v>21761.72426295848</v>
      </c>
      <c r="M45" s="174">
        <f t="shared" ref="M45" si="94">M43*M44</f>
        <v>23775.479399815798</v>
      </c>
      <c r="N45" s="174">
        <f t="shared" ref="N45" si="95">N43*N44</f>
        <v>23775.479399815798</v>
      </c>
      <c r="O45" s="174">
        <f t="shared" ref="O45" si="96">O43*O44</f>
        <v>23775.479399815798</v>
      </c>
      <c r="P45" s="174">
        <f t="shared" ref="P45" si="97">P43*P44</f>
        <v>23775.479399815798</v>
      </c>
      <c r="Q45" s="174">
        <f t="shared" ref="Q45" si="98">Q43*Q44</f>
        <v>23775.479399815798</v>
      </c>
      <c r="R45" s="174">
        <f t="shared" ref="R45" si="99">R43*R44</f>
        <v>23775.479399815798</v>
      </c>
      <c r="S45" s="163"/>
      <c r="T45" s="163"/>
    </row>
    <row r="46" spans="1:20" ht="12" hidden="1" customHeight="1" outlineLevel="1" x14ac:dyDescent="0.35">
      <c r="A46" s="181"/>
      <c r="B46" s="178"/>
      <c r="C46" s="179"/>
      <c r="D46" s="179"/>
      <c r="E46" s="179"/>
      <c r="F46" s="179"/>
      <c r="G46" s="179"/>
      <c r="H46" s="179"/>
      <c r="I46" s="179"/>
      <c r="J46" s="179"/>
      <c r="K46" s="179"/>
      <c r="L46" s="179"/>
      <c r="M46" s="179"/>
      <c r="N46" s="179"/>
      <c r="O46" s="179"/>
      <c r="P46" s="179"/>
      <c r="Q46" s="179"/>
      <c r="R46" s="180"/>
      <c r="S46" s="163"/>
      <c r="T46" s="163"/>
    </row>
    <row r="47" spans="1:20" ht="18.75" hidden="1" customHeight="1" outlineLevel="1" x14ac:dyDescent="0.35">
      <c r="A47" s="783" t="s">
        <v>140</v>
      </c>
      <c r="B47" s="784"/>
      <c r="C47" s="176" t="s">
        <v>3</v>
      </c>
      <c r="D47" s="173"/>
      <c r="E47" s="173"/>
      <c r="F47" s="173"/>
      <c r="G47" s="173"/>
      <c r="H47" s="173"/>
      <c r="I47" s="173"/>
      <c r="J47" s="173"/>
      <c r="K47" s="173"/>
      <c r="L47" s="173"/>
      <c r="M47" s="173"/>
      <c r="N47" s="173"/>
      <c r="O47" s="173"/>
      <c r="P47" s="173"/>
      <c r="Q47" s="173"/>
      <c r="R47" s="173"/>
      <c r="S47" s="163"/>
      <c r="T47" s="163"/>
    </row>
    <row r="48" spans="1:20" ht="18.75" hidden="1" customHeight="1" outlineLevel="1" x14ac:dyDescent="0.35">
      <c r="A48" s="783" t="s">
        <v>140</v>
      </c>
      <c r="B48" s="784"/>
      <c r="C48" s="176" t="s">
        <v>3</v>
      </c>
      <c r="D48" s="173"/>
      <c r="E48" s="173"/>
      <c r="F48" s="173"/>
      <c r="G48" s="173"/>
      <c r="H48" s="173"/>
      <c r="I48" s="173"/>
      <c r="J48" s="173"/>
      <c r="K48" s="173"/>
      <c r="L48" s="173"/>
      <c r="M48" s="173"/>
      <c r="N48" s="173"/>
      <c r="O48" s="173"/>
      <c r="P48" s="173"/>
      <c r="Q48" s="173"/>
      <c r="R48" s="173"/>
      <c r="S48" s="163"/>
      <c r="T48" s="163"/>
    </row>
    <row r="49" spans="1:22" ht="18.75" hidden="1" customHeight="1" outlineLevel="1" x14ac:dyDescent="0.35">
      <c r="A49" s="783" t="s">
        <v>140</v>
      </c>
      <c r="B49" s="784"/>
      <c r="C49" s="176" t="s">
        <v>3</v>
      </c>
      <c r="D49" s="173"/>
      <c r="E49" s="173"/>
      <c r="F49" s="173"/>
      <c r="G49" s="173"/>
      <c r="H49" s="173"/>
      <c r="I49" s="173"/>
      <c r="J49" s="173"/>
      <c r="K49" s="173"/>
      <c r="L49" s="173"/>
      <c r="M49" s="173"/>
      <c r="N49" s="173"/>
      <c r="O49" s="173"/>
      <c r="P49" s="173"/>
      <c r="Q49" s="173"/>
      <c r="R49" s="173"/>
      <c r="S49" s="163"/>
      <c r="T49" s="163"/>
    </row>
    <row r="50" spans="1:22" ht="18.75" hidden="1" customHeight="1" outlineLevel="1" x14ac:dyDescent="0.35">
      <c r="A50" s="783" t="s">
        <v>140</v>
      </c>
      <c r="B50" s="784"/>
      <c r="C50" s="176" t="s">
        <v>3</v>
      </c>
      <c r="D50" s="173"/>
      <c r="E50" s="173"/>
      <c r="F50" s="173"/>
      <c r="G50" s="173"/>
      <c r="H50" s="173"/>
      <c r="I50" s="173"/>
      <c r="J50" s="173"/>
      <c r="K50" s="173"/>
      <c r="L50" s="173"/>
      <c r="M50" s="173"/>
      <c r="N50" s="173"/>
      <c r="O50" s="173"/>
      <c r="P50" s="173"/>
      <c r="Q50" s="173"/>
      <c r="R50" s="173"/>
      <c r="S50" s="163"/>
      <c r="T50" s="163"/>
    </row>
    <row r="51" spans="1:22" ht="18.75" hidden="1" customHeight="1" outlineLevel="1" x14ac:dyDescent="0.35">
      <c r="A51" s="783" t="s">
        <v>140</v>
      </c>
      <c r="B51" s="784"/>
      <c r="C51" s="176" t="s">
        <v>3</v>
      </c>
      <c r="D51" s="173"/>
      <c r="E51" s="173"/>
      <c r="F51" s="173"/>
      <c r="G51" s="173"/>
      <c r="H51" s="173"/>
      <c r="I51" s="173"/>
      <c r="J51" s="173"/>
      <c r="K51" s="173"/>
      <c r="L51" s="173"/>
      <c r="M51" s="173"/>
      <c r="N51" s="173"/>
      <c r="O51" s="173"/>
      <c r="P51" s="173"/>
      <c r="Q51" s="173"/>
      <c r="R51" s="173"/>
      <c r="S51" s="163"/>
      <c r="T51" s="163"/>
    </row>
    <row r="52" spans="1:22" ht="4.5" hidden="1" customHeight="1" outlineLevel="1" x14ac:dyDescent="0.35">
      <c r="A52" s="157"/>
      <c r="B52" s="158"/>
      <c r="C52" s="160"/>
      <c r="D52" s="160"/>
      <c r="E52" s="160"/>
      <c r="F52" s="160"/>
      <c r="G52" s="160"/>
      <c r="H52" s="160"/>
      <c r="I52" s="160"/>
      <c r="J52" s="160"/>
      <c r="K52" s="160"/>
      <c r="L52" s="160"/>
      <c r="M52" s="160"/>
      <c r="N52" s="160"/>
      <c r="O52" s="160"/>
      <c r="P52" s="160"/>
      <c r="Q52" s="160"/>
      <c r="R52" s="170"/>
      <c r="S52" s="163"/>
      <c r="T52" s="163"/>
    </row>
    <row r="53" spans="1:22" s="185" customFormat="1" ht="21" customHeight="1" collapsed="1" x14ac:dyDescent="0.35">
      <c r="A53" s="785" t="s">
        <v>8</v>
      </c>
      <c r="B53" s="786"/>
      <c r="C53" s="182" t="s">
        <v>3</v>
      </c>
      <c r="D53" s="183">
        <f t="shared" ref="D53:L53" si="100">D9+D13+D17+D21+D25+D29+D33+D37+D41+D45+D47+D48+D49+D50+D51</f>
        <v>0</v>
      </c>
      <c r="E53" s="183">
        <f t="shared" si="100"/>
        <v>0</v>
      </c>
      <c r="F53" s="183">
        <f t="shared" si="100"/>
        <v>36690.654213865673</v>
      </c>
      <c r="G53" s="183">
        <f t="shared" si="100"/>
        <v>110071.96264159701</v>
      </c>
      <c r="H53" s="183">
        <f t="shared" si="100"/>
        <v>110071.96264159701</v>
      </c>
      <c r="I53" s="183">
        <f t="shared" si="100"/>
        <v>147801.92426295846</v>
      </c>
      <c r="J53" s="183">
        <f t="shared" si="100"/>
        <v>147801.92426295846</v>
      </c>
      <c r="K53" s="183">
        <f t="shared" si="100"/>
        <v>147801.92426295846</v>
      </c>
      <c r="L53" s="183">
        <f t="shared" si="100"/>
        <v>147801.92426295846</v>
      </c>
      <c r="M53" s="183">
        <f t="shared" ref="M53:R53" si="101">M9+M13+M17+M21+M25+M29+M33+M37+M41+M45+M47+M48+M49+M50+M51</f>
        <v>185559.1793998158</v>
      </c>
      <c r="N53" s="183">
        <f t="shared" si="101"/>
        <v>185559.1793998158</v>
      </c>
      <c r="O53" s="183">
        <f t="shared" si="101"/>
        <v>185559.1793998158</v>
      </c>
      <c r="P53" s="183">
        <f t="shared" si="101"/>
        <v>185559.1793998158</v>
      </c>
      <c r="Q53" s="183">
        <f t="shared" si="101"/>
        <v>185559.1793998158</v>
      </c>
      <c r="R53" s="183">
        <f t="shared" si="101"/>
        <v>185559.1793998158</v>
      </c>
      <c r="S53" s="184"/>
      <c r="T53" s="184"/>
    </row>
    <row r="54" spans="1:22" ht="4.5" customHeight="1" x14ac:dyDescent="0.35">
      <c r="A54" s="157"/>
      <c r="B54" s="158"/>
      <c r="C54" s="160"/>
      <c r="D54" s="160"/>
      <c r="E54" s="160"/>
      <c r="F54" s="160"/>
      <c r="G54" s="160"/>
      <c r="H54" s="160"/>
      <c r="I54" s="160"/>
      <c r="J54" s="160"/>
      <c r="K54" s="160"/>
      <c r="L54" s="160"/>
      <c r="M54" s="160"/>
      <c r="N54" s="160"/>
      <c r="O54" s="160"/>
      <c r="P54" s="160"/>
      <c r="Q54" s="160"/>
      <c r="R54" s="170"/>
      <c r="S54" s="163"/>
      <c r="T54" s="163"/>
    </row>
    <row r="55" spans="1:22" ht="9" customHeight="1" x14ac:dyDescent="0.35">
      <c r="B55" s="186"/>
      <c r="C55" s="163"/>
      <c r="D55" s="163"/>
      <c r="E55" s="163"/>
      <c r="F55" s="163"/>
      <c r="G55" s="163"/>
      <c r="H55" s="163"/>
      <c r="I55" s="163"/>
      <c r="J55" s="163"/>
      <c r="K55" s="163"/>
      <c r="L55" s="163"/>
      <c r="M55" s="163"/>
      <c r="N55" s="163"/>
      <c r="O55" s="163"/>
      <c r="P55" s="163"/>
      <c r="Q55" s="163"/>
      <c r="R55" s="163"/>
      <c r="S55" s="163"/>
      <c r="T55" s="163"/>
    </row>
    <row r="56" spans="1:22" ht="15.5" x14ac:dyDescent="0.35">
      <c r="A56" s="187" t="s">
        <v>9</v>
      </c>
      <c r="B56" s="186"/>
      <c r="C56" s="163"/>
      <c r="D56" s="886">
        <v>2024</v>
      </c>
      <c r="E56" s="886">
        <v>2025</v>
      </c>
      <c r="F56" s="886">
        <v>2026</v>
      </c>
      <c r="G56" s="886">
        <v>2027</v>
      </c>
      <c r="H56" s="886">
        <v>2028</v>
      </c>
      <c r="I56" s="886">
        <v>2029</v>
      </c>
      <c r="J56" s="886">
        <v>2030</v>
      </c>
      <c r="K56" s="886">
        <v>2031</v>
      </c>
      <c r="L56" s="886">
        <v>2032</v>
      </c>
      <c r="M56" s="886">
        <v>2033</v>
      </c>
      <c r="N56" s="886">
        <v>2034</v>
      </c>
      <c r="O56" s="886">
        <v>2035</v>
      </c>
      <c r="P56" s="886">
        <v>2036</v>
      </c>
      <c r="Q56" s="886">
        <v>2037</v>
      </c>
      <c r="R56" s="886">
        <v>2038</v>
      </c>
      <c r="S56" s="163"/>
      <c r="T56" s="163"/>
    </row>
    <row r="57" spans="1:22" ht="4.5" customHeight="1" x14ac:dyDescent="0.35">
      <c r="A57" s="157"/>
      <c r="B57" s="158"/>
      <c r="C57" s="160"/>
      <c r="D57" s="160"/>
      <c r="E57" s="160"/>
      <c r="F57" s="160"/>
      <c r="G57" s="160"/>
      <c r="H57" s="160"/>
      <c r="I57" s="160"/>
      <c r="J57" s="160"/>
      <c r="K57" s="160"/>
      <c r="L57" s="160"/>
      <c r="M57" s="160"/>
      <c r="N57" s="160"/>
      <c r="O57" s="160"/>
      <c r="P57" s="160"/>
      <c r="Q57" s="160"/>
      <c r="R57" s="170"/>
      <c r="S57" s="163"/>
      <c r="T57" s="163"/>
    </row>
    <row r="58" spans="1:22" x14ac:dyDescent="0.35">
      <c r="A58" s="771" t="s">
        <v>10</v>
      </c>
      <c r="B58" s="171" t="str">
        <f>Kulud50!A26</f>
        <v>Haldusjuht</v>
      </c>
      <c r="C58" s="172" t="s">
        <v>3</v>
      </c>
      <c r="D58" s="173"/>
      <c r="E58" s="173"/>
      <c r="F58" s="173">
        <f>Kulud25!E26/1.338*6/12</f>
        <v>8454</v>
      </c>
      <c r="G58" s="173">
        <f>Kulud25!E26/1.338</f>
        <v>16908</v>
      </c>
      <c r="H58" s="173">
        <f t="shared" ref="H58:R58" si="102">G58</f>
        <v>16908</v>
      </c>
      <c r="I58" s="173">
        <f>Kulud50!E26/1.338</f>
        <v>16908</v>
      </c>
      <c r="J58" s="173">
        <f t="shared" si="102"/>
        <v>16908</v>
      </c>
      <c r="K58" s="173">
        <f t="shared" si="102"/>
        <v>16908</v>
      </c>
      <c r="L58" s="173">
        <f t="shared" si="102"/>
        <v>16908</v>
      </c>
      <c r="M58" s="173">
        <f>Kulud75!E26/1.338</f>
        <v>16908</v>
      </c>
      <c r="N58" s="173">
        <f t="shared" si="102"/>
        <v>16908</v>
      </c>
      <c r="O58" s="173">
        <f t="shared" si="102"/>
        <v>16908</v>
      </c>
      <c r="P58" s="173">
        <f t="shared" si="102"/>
        <v>16908</v>
      </c>
      <c r="Q58" s="173">
        <f t="shared" si="102"/>
        <v>16908</v>
      </c>
      <c r="R58" s="173">
        <f t="shared" si="102"/>
        <v>16908</v>
      </c>
      <c r="S58" s="188"/>
      <c r="T58" s="188"/>
      <c r="U58" s="188"/>
      <c r="V58" s="188"/>
    </row>
    <row r="59" spans="1:22" ht="13.5" customHeight="1" x14ac:dyDescent="0.35">
      <c r="A59" s="771"/>
      <c r="B59" s="171" t="str">
        <f>Kulud50!A27</f>
        <v>Majandusjuht</v>
      </c>
      <c r="C59" s="172" t="s">
        <v>3</v>
      </c>
      <c r="D59" s="173"/>
      <c r="E59" s="173"/>
      <c r="F59" s="173">
        <f>Kulud25!E27/1.338*6/12</f>
        <v>8454</v>
      </c>
      <c r="G59" s="173">
        <f>Kulud25!E27/1.338</f>
        <v>16908</v>
      </c>
      <c r="H59" s="173">
        <f t="shared" ref="H59:R59" si="103">G59</f>
        <v>16908</v>
      </c>
      <c r="I59" s="173">
        <f>Kulud50!E27/1.338</f>
        <v>16908</v>
      </c>
      <c r="J59" s="173">
        <f t="shared" si="103"/>
        <v>16908</v>
      </c>
      <c r="K59" s="173">
        <f t="shared" si="103"/>
        <v>16908</v>
      </c>
      <c r="L59" s="173">
        <f t="shared" si="103"/>
        <v>16908</v>
      </c>
      <c r="M59" s="173">
        <f>Kulud75!E27/1.338</f>
        <v>16908</v>
      </c>
      <c r="N59" s="173">
        <f t="shared" si="103"/>
        <v>16908</v>
      </c>
      <c r="O59" s="173">
        <f t="shared" si="103"/>
        <v>16908</v>
      </c>
      <c r="P59" s="173">
        <f t="shared" si="103"/>
        <v>16908</v>
      </c>
      <c r="Q59" s="173">
        <f t="shared" si="103"/>
        <v>16908</v>
      </c>
      <c r="R59" s="173">
        <f t="shared" si="103"/>
        <v>16908</v>
      </c>
      <c r="S59" s="188"/>
      <c r="T59" s="188"/>
      <c r="U59" s="189"/>
    </row>
    <row r="60" spans="1:22" x14ac:dyDescent="0.35">
      <c r="A60" s="771"/>
      <c r="B60" s="171" t="str">
        <f>Kulud50!A28</f>
        <v>Arendusjuht</v>
      </c>
      <c r="C60" s="172" t="s">
        <v>3</v>
      </c>
      <c r="D60" s="173"/>
      <c r="E60" s="173"/>
      <c r="F60" s="173">
        <f>Kulud25!E28/1.338*6/12</f>
        <v>8454</v>
      </c>
      <c r="G60" s="173">
        <f>Kulud25!E28/1.338</f>
        <v>16908</v>
      </c>
      <c r="H60" s="173">
        <f>G60</f>
        <v>16908</v>
      </c>
      <c r="I60" s="173">
        <f>Kulud50!E28/1.338</f>
        <v>16908</v>
      </c>
      <c r="J60" s="173">
        <f t="shared" ref="J60" si="104">I60</f>
        <v>16908</v>
      </c>
      <c r="K60" s="173">
        <f t="shared" ref="K60" si="105">J60</f>
        <v>16908</v>
      </c>
      <c r="L60" s="173">
        <f t="shared" ref="L60" si="106">K60</f>
        <v>16908</v>
      </c>
      <c r="M60" s="173">
        <f>Kulud75!E28/1.338</f>
        <v>16908</v>
      </c>
      <c r="N60" s="173">
        <f t="shared" ref="N60" si="107">M60</f>
        <v>16908</v>
      </c>
      <c r="O60" s="173">
        <f t="shared" ref="O60" si="108">N60</f>
        <v>16908</v>
      </c>
      <c r="P60" s="173">
        <f t="shared" ref="P60" si="109">O60</f>
        <v>16908</v>
      </c>
      <c r="Q60" s="173">
        <f t="shared" ref="Q60" si="110">P60</f>
        <v>16908</v>
      </c>
      <c r="R60" s="173">
        <f t="shared" ref="R60" si="111">Q60</f>
        <v>16908</v>
      </c>
      <c r="S60" s="188"/>
      <c r="T60" s="188"/>
      <c r="U60" s="189"/>
    </row>
    <row r="61" spans="1:22" hidden="1" outlineLevel="1" x14ac:dyDescent="0.35">
      <c r="A61" s="771"/>
      <c r="B61" s="171"/>
      <c r="C61" s="172" t="s">
        <v>3</v>
      </c>
      <c r="D61" s="173"/>
      <c r="E61" s="173"/>
      <c r="F61" s="173"/>
      <c r="G61" s="173"/>
      <c r="H61" s="173"/>
      <c r="I61" s="173"/>
      <c r="J61" s="173"/>
      <c r="K61" s="173"/>
      <c r="L61" s="173"/>
      <c r="M61" s="173"/>
      <c r="N61" s="173"/>
      <c r="O61" s="173"/>
      <c r="P61" s="173"/>
      <c r="Q61" s="173"/>
      <c r="R61" s="173"/>
      <c r="S61" s="188"/>
      <c r="T61" s="188"/>
      <c r="U61" s="189"/>
    </row>
    <row r="62" spans="1:22" hidden="1" outlineLevel="1" x14ac:dyDescent="0.35">
      <c r="A62" s="771"/>
      <c r="B62" s="171" t="s">
        <v>11</v>
      </c>
      <c r="C62" s="172" t="s">
        <v>3</v>
      </c>
      <c r="D62" s="173"/>
      <c r="E62" s="173"/>
      <c r="F62" s="173"/>
      <c r="G62" s="173"/>
      <c r="H62" s="173"/>
      <c r="I62" s="173"/>
      <c r="J62" s="173"/>
      <c r="K62" s="173"/>
      <c r="L62" s="173"/>
      <c r="M62" s="173"/>
      <c r="N62" s="173"/>
      <c r="O62" s="173"/>
      <c r="P62" s="173"/>
      <c r="Q62" s="173"/>
      <c r="R62" s="173"/>
      <c r="S62" s="188"/>
      <c r="T62" s="188"/>
      <c r="U62" s="189"/>
    </row>
    <row r="63" spans="1:22" hidden="1" outlineLevel="1" x14ac:dyDescent="0.35">
      <c r="A63" s="771"/>
      <c r="B63" s="171" t="s">
        <v>12</v>
      </c>
      <c r="C63" s="172" t="s">
        <v>3</v>
      </c>
      <c r="D63" s="173"/>
      <c r="E63" s="173"/>
      <c r="F63" s="173"/>
      <c r="G63" s="173"/>
      <c r="H63" s="173"/>
      <c r="I63" s="173"/>
      <c r="J63" s="173"/>
      <c r="K63" s="173"/>
      <c r="L63" s="173"/>
      <c r="M63" s="173"/>
      <c r="N63" s="173"/>
      <c r="O63" s="173"/>
      <c r="P63" s="173"/>
      <c r="Q63" s="173"/>
      <c r="R63" s="173"/>
      <c r="S63" s="188"/>
      <c r="T63" s="188"/>
      <c r="U63" s="189"/>
    </row>
    <row r="64" spans="1:22" hidden="1" outlineLevel="1" x14ac:dyDescent="0.35">
      <c r="A64" s="771"/>
      <c r="B64" s="171" t="s">
        <v>13</v>
      </c>
      <c r="C64" s="172" t="s">
        <v>3</v>
      </c>
      <c r="D64" s="173"/>
      <c r="E64" s="173"/>
      <c r="F64" s="173"/>
      <c r="G64" s="173"/>
      <c r="H64" s="173"/>
      <c r="I64" s="173"/>
      <c r="J64" s="173"/>
      <c r="K64" s="173"/>
      <c r="L64" s="173"/>
      <c r="M64" s="173"/>
      <c r="N64" s="173"/>
      <c r="O64" s="173"/>
      <c r="P64" s="173"/>
      <c r="Q64" s="173"/>
      <c r="R64" s="173"/>
      <c r="S64" s="188"/>
      <c r="T64" s="188"/>
      <c r="U64" s="189"/>
    </row>
    <row r="65" spans="1:21" hidden="1" outlineLevel="1" x14ac:dyDescent="0.35">
      <c r="A65" s="771"/>
      <c r="B65" s="171" t="s">
        <v>14</v>
      </c>
      <c r="C65" s="172" t="s">
        <v>3</v>
      </c>
      <c r="D65" s="173"/>
      <c r="E65" s="173"/>
      <c r="F65" s="173"/>
      <c r="G65" s="173"/>
      <c r="H65" s="173"/>
      <c r="I65" s="173"/>
      <c r="J65" s="173"/>
      <c r="K65" s="173"/>
      <c r="L65" s="173"/>
      <c r="M65" s="173"/>
      <c r="N65" s="173"/>
      <c r="O65" s="173"/>
      <c r="P65" s="173"/>
      <c r="Q65" s="173"/>
      <c r="R65" s="173"/>
      <c r="S65" s="188"/>
      <c r="T65" s="188"/>
      <c r="U65" s="189"/>
    </row>
    <row r="66" spans="1:21" hidden="1" outlineLevel="1" x14ac:dyDescent="0.35">
      <c r="A66" s="771"/>
      <c r="B66" s="171" t="s">
        <v>15</v>
      </c>
      <c r="C66" s="172" t="s">
        <v>3</v>
      </c>
      <c r="D66" s="173"/>
      <c r="E66" s="173"/>
      <c r="F66" s="173"/>
      <c r="G66" s="173"/>
      <c r="H66" s="173"/>
      <c r="I66" s="173"/>
      <c r="J66" s="173"/>
      <c r="K66" s="173"/>
      <c r="L66" s="173"/>
      <c r="M66" s="173"/>
      <c r="N66" s="173"/>
      <c r="O66" s="173"/>
      <c r="P66" s="173"/>
      <c r="Q66" s="173"/>
      <c r="R66" s="173"/>
      <c r="S66" s="188"/>
      <c r="T66" s="188"/>
      <c r="U66" s="189"/>
    </row>
    <row r="67" spans="1:21" hidden="1" outlineLevel="1" x14ac:dyDescent="0.35">
      <c r="A67" s="771"/>
      <c r="B67" s="171" t="s">
        <v>16</v>
      </c>
      <c r="C67" s="172" t="s">
        <v>3</v>
      </c>
      <c r="D67" s="173"/>
      <c r="E67" s="173"/>
      <c r="F67" s="173"/>
      <c r="G67" s="173"/>
      <c r="H67" s="173"/>
      <c r="I67" s="173"/>
      <c r="J67" s="173"/>
      <c r="K67" s="173"/>
      <c r="L67" s="173"/>
      <c r="M67" s="173"/>
      <c r="N67" s="173"/>
      <c r="O67" s="173"/>
      <c r="P67" s="173"/>
      <c r="Q67" s="173"/>
      <c r="R67" s="173"/>
      <c r="S67" s="188"/>
      <c r="T67" s="188"/>
      <c r="U67" s="189"/>
    </row>
    <row r="68" spans="1:21" hidden="1" outlineLevel="1" x14ac:dyDescent="0.35">
      <c r="A68" s="771"/>
      <c r="B68" s="171" t="s">
        <v>37</v>
      </c>
      <c r="C68" s="172" t="s">
        <v>3</v>
      </c>
      <c r="D68" s="173"/>
      <c r="E68" s="173"/>
      <c r="F68" s="173"/>
      <c r="G68" s="173"/>
      <c r="H68" s="173"/>
      <c r="I68" s="173"/>
      <c r="J68" s="173"/>
      <c r="K68" s="173"/>
      <c r="L68" s="173"/>
      <c r="M68" s="173"/>
      <c r="N68" s="173"/>
      <c r="O68" s="173"/>
      <c r="P68" s="173"/>
      <c r="Q68" s="173"/>
      <c r="R68" s="173"/>
      <c r="S68" s="188"/>
      <c r="T68" s="188"/>
      <c r="U68" s="189"/>
    </row>
    <row r="69" spans="1:21" hidden="1" outlineLevel="1" x14ac:dyDescent="0.35">
      <c r="A69" s="771"/>
      <c r="B69" s="171" t="s">
        <v>38</v>
      </c>
      <c r="C69" s="172" t="s">
        <v>3</v>
      </c>
      <c r="D69" s="173"/>
      <c r="E69" s="173"/>
      <c r="F69" s="173"/>
      <c r="G69" s="173"/>
      <c r="H69" s="173"/>
      <c r="I69" s="173"/>
      <c r="J69" s="173"/>
      <c r="K69" s="173"/>
      <c r="L69" s="173"/>
      <c r="M69" s="173"/>
      <c r="N69" s="173"/>
      <c r="O69" s="173"/>
      <c r="P69" s="173"/>
      <c r="Q69" s="173"/>
      <c r="R69" s="173"/>
      <c r="S69" s="188"/>
      <c r="T69" s="188"/>
      <c r="U69" s="189"/>
    </row>
    <row r="70" spans="1:21" hidden="1" outlineLevel="1" x14ac:dyDescent="0.35">
      <c r="A70" s="771"/>
      <c r="B70" s="171" t="s">
        <v>39</v>
      </c>
      <c r="C70" s="172" t="s">
        <v>3</v>
      </c>
      <c r="D70" s="173"/>
      <c r="E70" s="173"/>
      <c r="F70" s="173"/>
      <c r="G70" s="173"/>
      <c r="H70" s="173"/>
      <c r="I70" s="173"/>
      <c r="J70" s="173"/>
      <c r="K70" s="173"/>
      <c r="L70" s="173"/>
      <c r="M70" s="173"/>
      <c r="N70" s="173"/>
      <c r="O70" s="173"/>
      <c r="P70" s="173"/>
      <c r="Q70" s="173"/>
      <c r="R70" s="173"/>
      <c r="S70" s="188"/>
      <c r="T70" s="188"/>
      <c r="U70" s="189"/>
    </row>
    <row r="71" spans="1:21" hidden="1" outlineLevel="1" x14ac:dyDescent="0.35">
      <c r="A71" s="771"/>
      <c r="B71" s="171" t="s">
        <v>40</v>
      </c>
      <c r="C71" s="172" t="s">
        <v>3</v>
      </c>
      <c r="D71" s="173"/>
      <c r="E71" s="173"/>
      <c r="F71" s="173"/>
      <c r="G71" s="173"/>
      <c r="H71" s="173"/>
      <c r="I71" s="173"/>
      <c r="J71" s="173"/>
      <c r="K71" s="173"/>
      <c r="L71" s="173"/>
      <c r="M71" s="173"/>
      <c r="N71" s="173"/>
      <c r="O71" s="173"/>
      <c r="P71" s="173"/>
      <c r="Q71" s="173"/>
      <c r="R71" s="173"/>
      <c r="S71" s="188"/>
      <c r="T71" s="188"/>
      <c r="U71" s="189"/>
    </row>
    <row r="72" spans="1:21" hidden="1" outlineLevel="1" x14ac:dyDescent="0.35">
      <c r="A72" s="771"/>
      <c r="B72" s="171" t="s">
        <v>41</v>
      </c>
      <c r="C72" s="172" t="s">
        <v>3</v>
      </c>
      <c r="D72" s="173"/>
      <c r="E72" s="173"/>
      <c r="F72" s="173"/>
      <c r="G72" s="173"/>
      <c r="H72" s="173"/>
      <c r="I72" s="173"/>
      <c r="J72" s="173"/>
      <c r="K72" s="173"/>
      <c r="L72" s="173"/>
      <c r="M72" s="173"/>
      <c r="N72" s="173"/>
      <c r="O72" s="173"/>
      <c r="P72" s="173"/>
      <c r="Q72" s="173"/>
      <c r="R72" s="173"/>
      <c r="S72" s="188"/>
      <c r="T72" s="188"/>
      <c r="U72" s="189"/>
    </row>
    <row r="73" spans="1:21" hidden="1" outlineLevel="1" x14ac:dyDescent="0.35">
      <c r="A73" s="771"/>
      <c r="B73" s="171" t="s">
        <v>42</v>
      </c>
      <c r="C73" s="172" t="s">
        <v>3</v>
      </c>
      <c r="D73" s="173"/>
      <c r="E73" s="173"/>
      <c r="F73" s="173"/>
      <c r="G73" s="173"/>
      <c r="H73" s="173"/>
      <c r="I73" s="173"/>
      <c r="J73" s="173"/>
      <c r="K73" s="173"/>
      <c r="L73" s="173"/>
      <c r="M73" s="173"/>
      <c r="N73" s="173"/>
      <c r="O73" s="173"/>
      <c r="P73" s="173"/>
      <c r="Q73" s="173"/>
      <c r="R73" s="173"/>
      <c r="S73" s="188"/>
      <c r="T73" s="188"/>
      <c r="U73" s="189"/>
    </row>
    <row r="74" spans="1:21" hidden="1" outlineLevel="1" x14ac:dyDescent="0.35">
      <c r="A74" s="771"/>
      <c r="B74" s="171" t="s">
        <v>43</v>
      </c>
      <c r="C74" s="172" t="s">
        <v>3</v>
      </c>
      <c r="D74" s="173"/>
      <c r="E74" s="173"/>
      <c r="F74" s="173"/>
      <c r="G74" s="173"/>
      <c r="H74" s="173"/>
      <c r="I74" s="173"/>
      <c r="J74" s="173"/>
      <c r="K74" s="173"/>
      <c r="L74" s="173"/>
      <c r="M74" s="173"/>
      <c r="N74" s="173"/>
      <c r="O74" s="173"/>
      <c r="P74" s="173"/>
      <c r="Q74" s="173"/>
      <c r="R74" s="173"/>
      <c r="S74" s="188"/>
      <c r="T74" s="188"/>
      <c r="U74" s="189"/>
    </row>
    <row r="75" spans="1:21" hidden="1" outlineLevel="1" x14ac:dyDescent="0.35">
      <c r="A75" s="771"/>
      <c r="B75" s="171" t="s">
        <v>44</v>
      </c>
      <c r="C75" s="172" t="s">
        <v>3</v>
      </c>
      <c r="D75" s="173"/>
      <c r="E75" s="173"/>
      <c r="F75" s="173"/>
      <c r="G75" s="173"/>
      <c r="H75" s="173"/>
      <c r="I75" s="173"/>
      <c r="J75" s="173"/>
      <c r="K75" s="173"/>
      <c r="L75" s="173"/>
      <c r="M75" s="173"/>
      <c r="N75" s="173"/>
      <c r="O75" s="173"/>
      <c r="P75" s="173"/>
      <c r="Q75" s="173"/>
      <c r="R75" s="173"/>
      <c r="S75" s="188"/>
      <c r="T75" s="188"/>
      <c r="U75" s="189"/>
    </row>
    <row r="76" spans="1:21" hidden="1" outlineLevel="1" x14ac:dyDescent="0.35">
      <c r="A76" s="771"/>
      <c r="B76" s="171" t="s">
        <v>45</v>
      </c>
      <c r="C76" s="172" t="s">
        <v>3</v>
      </c>
      <c r="D76" s="173"/>
      <c r="E76" s="173"/>
      <c r="F76" s="173"/>
      <c r="G76" s="173"/>
      <c r="H76" s="173"/>
      <c r="I76" s="173"/>
      <c r="J76" s="173"/>
      <c r="K76" s="173"/>
      <c r="L76" s="173"/>
      <c r="M76" s="173"/>
      <c r="N76" s="173"/>
      <c r="O76" s="173"/>
      <c r="P76" s="173"/>
      <c r="Q76" s="173"/>
      <c r="R76" s="173"/>
      <c r="S76" s="188"/>
      <c r="T76" s="188"/>
      <c r="U76" s="189"/>
    </row>
    <row r="77" spans="1:21" hidden="1" outlineLevel="1" x14ac:dyDescent="0.35">
      <c r="A77" s="771"/>
      <c r="B77" s="171" t="s">
        <v>46</v>
      </c>
      <c r="C77" s="172" t="s">
        <v>3</v>
      </c>
      <c r="D77" s="173"/>
      <c r="E77" s="173"/>
      <c r="F77" s="173"/>
      <c r="G77" s="173"/>
      <c r="H77" s="173"/>
      <c r="I77" s="173"/>
      <c r="J77" s="173"/>
      <c r="K77" s="173"/>
      <c r="L77" s="173"/>
      <c r="M77" s="173"/>
      <c r="N77" s="173"/>
      <c r="O77" s="173"/>
      <c r="P77" s="173"/>
      <c r="Q77" s="173"/>
      <c r="R77" s="173"/>
      <c r="S77" s="188"/>
      <c r="T77" s="188"/>
      <c r="U77" s="189"/>
    </row>
    <row r="78" spans="1:21" collapsed="1" x14ac:dyDescent="0.35">
      <c r="A78" s="771"/>
      <c r="B78" s="171" t="s">
        <v>18</v>
      </c>
      <c r="C78" s="172" t="s">
        <v>3</v>
      </c>
      <c r="D78" s="190">
        <f>SUM(D58:D77)</f>
        <v>0</v>
      </c>
      <c r="E78" s="190">
        <f t="shared" ref="E78:M78" si="112">SUM(E58:E77)</f>
        <v>0</v>
      </c>
      <c r="F78" s="190">
        <f t="shared" si="112"/>
        <v>25362</v>
      </c>
      <c r="G78" s="190">
        <f t="shared" si="112"/>
        <v>50724</v>
      </c>
      <c r="H78" s="190">
        <f t="shared" si="112"/>
        <v>50724</v>
      </c>
      <c r="I78" s="190">
        <f t="shared" si="112"/>
        <v>50724</v>
      </c>
      <c r="J78" s="190">
        <f t="shared" si="112"/>
        <v>50724</v>
      </c>
      <c r="K78" s="190">
        <f t="shared" si="112"/>
        <v>50724</v>
      </c>
      <c r="L78" s="190">
        <f t="shared" si="112"/>
        <v>50724</v>
      </c>
      <c r="M78" s="190">
        <f t="shared" si="112"/>
        <v>50724</v>
      </c>
      <c r="N78" s="190">
        <f t="shared" ref="N78:R78" si="113">SUM(N58:N77)</f>
        <v>50724</v>
      </c>
      <c r="O78" s="190">
        <f t="shared" si="113"/>
        <v>50724</v>
      </c>
      <c r="P78" s="190">
        <f t="shared" si="113"/>
        <v>50724</v>
      </c>
      <c r="Q78" s="190">
        <f t="shared" si="113"/>
        <v>50724</v>
      </c>
      <c r="R78" s="190">
        <f t="shared" si="113"/>
        <v>50724</v>
      </c>
      <c r="S78" s="188"/>
      <c r="T78" s="188"/>
      <c r="U78" s="189"/>
    </row>
    <row r="79" spans="1:21" x14ac:dyDescent="0.35">
      <c r="A79" s="771"/>
      <c r="B79" s="171" t="s">
        <v>17</v>
      </c>
      <c r="C79" s="191"/>
      <c r="D79" s="190">
        <f>D78*Maksumäärad!B5</f>
        <v>0</v>
      </c>
      <c r="E79" s="190">
        <f>E78*Maksumäärad!C5</f>
        <v>0</v>
      </c>
      <c r="F79" s="190">
        <f>F78*Maksumäärad!D5</f>
        <v>8572.3559999999998</v>
      </c>
      <c r="G79" s="190">
        <f>G78*Maksumäärad!E5</f>
        <v>17144.712</v>
      </c>
      <c r="H79" s="190">
        <f>H78*Maksumäärad!F5</f>
        <v>17144.712</v>
      </c>
      <c r="I79" s="190">
        <f>I78*Maksumäärad!G5</f>
        <v>17144.712</v>
      </c>
      <c r="J79" s="190">
        <f>J78*Maksumäärad!H5</f>
        <v>17144.712</v>
      </c>
      <c r="K79" s="190">
        <f>K78*Maksumäärad!I5</f>
        <v>17144.712</v>
      </c>
      <c r="L79" s="190">
        <f>L78*Maksumäärad!J5</f>
        <v>17144.712</v>
      </c>
      <c r="M79" s="190">
        <f>M78*Maksumäärad!K5</f>
        <v>17144.712</v>
      </c>
      <c r="N79" s="190">
        <f>N78*Maksumäärad!L5</f>
        <v>17144.712</v>
      </c>
      <c r="O79" s="190">
        <f>O78*Maksumäärad!M5</f>
        <v>17144.712</v>
      </c>
      <c r="P79" s="190">
        <f>P78*Maksumäärad!N5</f>
        <v>17144.712</v>
      </c>
      <c r="Q79" s="190">
        <f>Q78*Maksumäärad!O5</f>
        <v>17144.712</v>
      </c>
      <c r="R79" s="190">
        <f>R78*Maksumäärad!P5</f>
        <v>17144.712</v>
      </c>
      <c r="S79" s="188"/>
      <c r="T79" s="188"/>
      <c r="U79" s="189"/>
    </row>
    <row r="80" spans="1:21" x14ac:dyDescent="0.35">
      <c r="A80" s="772" t="s">
        <v>19</v>
      </c>
      <c r="B80" s="773"/>
      <c r="C80" s="192"/>
      <c r="D80" s="193">
        <f t="shared" ref="D80:M80" si="114">SUM(D78:D79)</f>
        <v>0</v>
      </c>
      <c r="E80" s="193">
        <f t="shared" si="114"/>
        <v>0</v>
      </c>
      <c r="F80" s="193">
        <f t="shared" si="114"/>
        <v>33934.356</v>
      </c>
      <c r="G80" s="193">
        <f t="shared" si="114"/>
        <v>67868.712</v>
      </c>
      <c r="H80" s="193">
        <f t="shared" si="114"/>
        <v>67868.712</v>
      </c>
      <c r="I80" s="193">
        <f t="shared" si="114"/>
        <v>67868.712</v>
      </c>
      <c r="J80" s="193">
        <f t="shared" si="114"/>
        <v>67868.712</v>
      </c>
      <c r="K80" s="193">
        <f t="shared" si="114"/>
        <v>67868.712</v>
      </c>
      <c r="L80" s="193">
        <f t="shared" si="114"/>
        <v>67868.712</v>
      </c>
      <c r="M80" s="193">
        <f t="shared" si="114"/>
        <v>67868.712</v>
      </c>
      <c r="N80" s="193">
        <f t="shared" ref="N80:R80" si="115">SUM(N78:N79)</f>
        <v>67868.712</v>
      </c>
      <c r="O80" s="193">
        <f t="shared" si="115"/>
        <v>67868.712</v>
      </c>
      <c r="P80" s="193">
        <f t="shared" si="115"/>
        <v>67868.712</v>
      </c>
      <c r="Q80" s="193">
        <f t="shared" si="115"/>
        <v>67868.712</v>
      </c>
      <c r="R80" s="193">
        <f t="shared" si="115"/>
        <v>67868.712</v>
      </c>
      <c r="S80" s="188"/>
      <c r="T80" s="188"/>
      <c r="U80" s="189"/>
    </row>
    <row r="81" spans="1:22" ht="4.5" customHeight="1" x14ac:dyDescent="0.35">
      <c r="A81" s="157"/>
      <c r="B81" s="158"/>
      <c r="C81" s="160"/>
      <c r="D81" s="194"/>
      <c r="E81" s="194"/>
      <c r="F81" s="194"/>
      <c r="G81" s="194"/>
      <c r="H81" s="194"/>
      <c r="I81" s="194"/>
      <c r="J81" s="194"/>
      <c r="K81" s="194"/>
      <c r="L81" s="194"/>
      <c r="M81" s="194"/>
      <c r="N81" s="194"/>
      <c r="O81" s="194"/>
      <c r="P81" s="194"/>
      <c r="Q81" s="194"/>
      <c r="R81" s="195"/>
      <c r="S81" s="188"/>
      <c r="T81" s="188"/>
      <c r="U81" s="189"/>
    </row>
    <row r="82" spans="1:22" x14ac:dyDescent="0.35">
      <c r="A82" s="771" t="s">
        <v>20</v>
      </c>
      <c r="B82" s="171" t="str">
        <f>Kulud50!A5</f>
        <v>Küte</v>
      </c>
      <c r="C82" s="172" t="s">
        <v>3</v>
      </c>
      <c r="D82" s="173"/>
      <c r="E82" s="173"/>
      <c r="F82" s="173">
        <f>Kulud25!E5*4/12</f>
        <v>1574.2779765333335</v>
      </c>
      <c r="G82" s="173">
        <f>Kulud25!E5</f>
        <v>4722.8339296000004</v>
      </c>
      <c r="H82" s="173">
        <f t="shared" ref="H82:R82" si="116">G82</f>
        <v>4722.8339296000004</v>
      </c>
      <c r="I82" s="173">
        <f>Kulud50!E5</f>
        <v>4722.8339296000013</v>
      </c>
      <c r="J82" s="173">
        <f t="shared" si="116"/>
        <v>4722.8339296000013</v>
      </c>
      <c r="K82" s="173">
        <f t="shared" si="116"/>
        <v>4722.8339296000013</v>
      </c>
      <c r="L82" s="173">
        <f t="shared" si="116"/>
        <v>4722.8339296000013</v>
      </c>
      <c r="M82" s="173">
        <f>Kulud75!E5</f>
        <v>4722.8339296000004</v>
      </c>
      <c r="N82" s="173">
        <f t="shared" si="116"/>
        <v>4722.8339296000004</v>
      </c>
      <c r="O82" s="173">
        <f t="shared" si="116"/>
        <v>4722.8339296000004</v>
      </c>
      <c r="P82" s="173">
        <f t="shared" si="116"/>
        <v>4722.8339296000004</v>
      </c>
      <c r="Q82" s="173">
        <f t="shared" si="116"/>
        <v>4722.8339296000004</v>
      </c>
      <c r="R82" s="173">
        <f t="shared" si="116"/>
        <v>4722.8339296000004</v>
      </c>
      <c r="S82" s="188"/>
      <c r="T82" s="188"/>
      <c r="U82" s="189"/>
    </row>
    <row r="83" spans="1:22" x14ac:dyDescent="0.35">
      <c r="A83" s="771"/>
      <c r="B83" s="171" t="str">
        <f>Kulud50!A14</f>
        <v>Elekter</v>
      </c>
      <c r="C83" s="172" t="s">
        <v>3</v>
      </c>
      <c r="D83" s="173"/>
      <c r="E83" s="173"/>
      <c r="F83" s="173">
        <f>Kulud25!E14*4/12</f>
        <v>200.17676250000002</v>
      </c>
      <c r="G83" s="173">
        <f>Kulud25!E14</f>
        <v>600.5302875000001</v>
      </c>
      <c r="H83" s="173">
        <f t="shared" ref="H83:R83" si="117">G83</f>
        <v>600.5302875000001</v>
      </c>
      <c r="I83" s="173">
        <f>Kulud50!E14</f>
        <v>631.86922500000026</v>
      </c>
      <c r="J83" s="173">
        <f t="shared" si="117"/>
        <v>631.86922500000026</v>
      </c>
      <c r="K83" s="173">
        <f t="shared" si="117"/>
        <v>631.86922500000026</v>
      </c>
      <c r="L83" s="173">
        <f t="shared" si="117"/>
        <v>631.86922500000026</v>
      </c>
      <c r="M83" s="173">
        <f>Kulud75!E14</f>
        <v>663.20816250000007</v>
      </c>
      <c r="N83" s="173">
        <f t="shared" si="117"/>
        <v>663.20816250000007</v>
      </c>
      <c r="O83" s="173">
        <f t="shared" si="117"/>
        <v>663.20816250000007</v>
      </c>
      <c r="P83" s="173">
        <f t="shared" si="117"/>
        <v>663.20816250000007</v>
      </c>
      <c r="Q83" s="173">
        <f t="shared" si="117"/>
        <v>663.20816250000007</v>
      </c>
      <c r="R83" s="173">
        <f t="shared" si="117"/>
        <v>663.20816250000007</v>
      </c>
      <c r="S83" s="188"/>
      <c r="T83" s="188"/>
      <c r="U83" s="189"/>
    </row>
    <row r="84" spans="1:22" x14ac:dyDescent="0.35">
      <c r="A84" s="771"/>
      <c r="B84" s="171" t="str">
        <f>Kulud50!A20</f>
        <v>Vesi ja kanalisatsioon</v>
      </c>
      <c r="C84" s="172" t="s">
        <v>3</v>
      </c>
      <c r="D84" s="173"/>
      <c r="E84" s="173"/>
      <c r="F84" s="173">
        <f>Kulud25!E20*4/12</f>
        <v>829.95163229999991</v>
      </c>
      <c r="G84" s="173">
        <f>Kulud25!E20</f>
        <v>2489.8548968999999</v>
      </c>
      <c r="H84" s="173">
        <f t="shared" ref="H84:R87" si="118">G84</f>
        <v>2489.8548968999999</v>
      </c>
      <c r="I84" s="173">
        <f>Kulud50!E20</f>
        <v>2719.6282134000003</v>
      </c>
      <c r="J84" s="173">
        <f t="shared" si="118"/>
        <v>2719.6282134000003</v>
      </c>
      <c r="K84" s="173">
        <f t="shared" si="118"/>
        <v>2719.6282134000003</v>
      </c>
      <c r="L84" s="173">
        <f t="shared" si="118"/>
        <v>2719.6282134000003</v>
      </c>
      <c r="M84" s="173">
        <f>Kulud75!E20</f>
        <v>2949.4015299000002</v>
      </c>
      <c r="N84" s="173">
        <f t="shared" si="118"/>
        <v>2949.4015299000002</v>
      </c>
      <c r="O84" s="173">
        <f t="shared" si="118"/>
        <v>2949.4015299000002</v>
      </c>
      <c r="P84" s="173">
        <f t="shared" si="118"/>
        <v>2949.4015299000002</v>
      </c>
      <c r="Q84" s="173">
        <f t="shared" si="118"/>
        <v>2949.4015299000002</v>
      </c>
      <c r="R84" s="173">
        <f t="shared" si="118"/>
        <v>2949.4015299000002</v>
      </c>
      <c r="S84" s="188"/>
      <c r="T84" s="188"/>
      <c r="U84" s="189"/>
    </row>
    <row r="85" spans="1:22" x14ac:dyDescent="0.35">
      <c r="A85" s="771"/>
      <c r="B85" s="171" t="str">
        <f>Kulud50!A31</f>
        <v>Tehnohooldus</v>
      </c>
      <c r="C85" s="172" t="s">
        <v>3</v>
      </c>
      <c r="D85" s="173"/>
      <c r="E85" s="173"/>
      <c r="F85" s="173">
        <f>Kulud25!E31*4/12</f>
        <v>2800</v>
      </c>
      <c r="G85" s="173">
        <f>Kulud25!E31</f>
        <v>8400</v>
      </c>
      <c r="H85" s="173">
        <f t="shared" si="118"/>
        <v>8400</v>
      </c>
      <c r="I85" s="173">
        <f>Kulud50!E31</f>
        <v>8400</v>
      </c>
      <c r="J85" s="173">
        <f t="shared" si="118"/>
        <v>8400</v>
      </c>
      <c r="K85" s="173">
        <f t="shared" si="118"/>
        <v>8400</v>
      </c>
      <c r="L85" s="173">
        <f t="shared" si="118"/>
        <v>8400</v>
      </c>
      <c r="M85" s="173">
        <f>Kulud75!E31</f>
        <v>8400</v>
      </c>
      <c r="N85" s="173">
        <f t="shared" si="118"/>
        <v>8400</v>
      </c>
      <c r="O85" s="173">
        <f t="shared" si="118"/>
        <v>8400</v>
      </c>
      <c r="P85" s="173">
        <f t="shared" si="118"/>
        <v>8400</v>
      </c>
      <c r="Q85" s="173">
        <f t="shared" si="118"/>
        <v>8400</v>
      </c>
      <c r="R85" s="173">
        <f t="shared" si="118"/>
        <v>8400</v>
      </c>
      <c r="S85" s="188"/>
      <c r="T85" s="188"/>
      <c r="U85" s="189"/>
    </row>
    <row r="86" spans="1:22" x14ac:dyDescent="0.35">
      <c r="A86" s="771"/>
      <c r="B86" s="171" t="str">
        <f>Kulud50!A43</f>
        <v>Hooldus (hooned)</v>
      </c>
      <c r="C86" s="172" t="s">
        <v>3</v>
      </c>
      <c r="D86" s="173"/>
      <c r="E86" s="173"/>
      <c r="F86" s="173">
        <f>Kulud25!E43*4/12</f>
        <v>3040</v>
      </c>
      <c r="G86" s="173">
        <f>Kulud25!E43</f>
        <v>9120</v>
      </c>
      <c r="H86" s="173">
        <f t="shared" si="118"/>
        <v>9120</v>
      </c>
      <c r="I86" s="173">
        <f>Kulud50!E43</f>
        <v>9120</v>
      </c>
      <c r="J86" s="173">
        <f t="shared" si="118"/>
        <v>9120</v>
      </c>
      <c r="K86" s="173">
        <f t="shared" si="118"/>
        <v>9120</v>
      </c>
      <c r="L86" s="173">
        <f t="shared" si="118"/>
        <v>9120</v>
      </c>
      <c r="M86" s="173">
        <f>Kulud75!E43</f>
        <v>9120</v>
      </c>
      <c r="N86" s="173">
        <f t="shared" si="118"/>
        <v>9120</v>
      </c>
      <c r="O86" s="173">
        <f t="shared" si="118"/>
        <v>9120</v>
      </c>
      <c r="P86" s="173">
        <f t="shared" si="118"/>
        <v>9120</v>
      </c>
      <c r="Q86" s="173">
        <f t="shared" si="118"/>
        <v>9120</v>
      </c>
      <c r="R86" s="173">
        <f t="shared" si="118"/>
        <v>9120</v>
      </c>
      <c r="S86" s="188"/>
      <c r="T86" s="188"/>
      <c r="U86" s="189"/>
    </row>
    <row r="87" spans="1:22" x14ac:dyDescent="0.35">
      <c r="A87" s="771"/>
      <c r="B87" s="171" t="str">
        <f>Kulud50!A48</f>
        <v>Hooldus (territoorium)</v>
      </c>
      <c r="C87" s="172" t="s">
        <v>3</v>
      </c>
      <c r="D87" s="173"/>
      <c r="E87" s="173"/>
      <c r="F87" s="173">
        <f>Kulud25!E48*4/12</f>
        <v>2155.6666666666665</v>
      </c>
      <c r="G87" s="173">
        <f>Kulud25!E48</f>
        <v>6467</v>
      </c>
      <c r="H87" s="173">
        <f t="shared" si="118"/>
        <v>6467</v>
      </c>
      <c r="I87" s="173">
        <f>Kulud50!E48</f>
        <v>6467</v>
      </c>
      <c r="J87" s="173">
        <f t="shared" si="118"/>
        <v>6467</v>
      </c>
      <c r="K87" s="173">
        <f t="shared" si="118"/>
        <v>6467</v>
      </c>
      <c r="L87" s="173">
        <f t="shared" si="118"/>
        <v>6467</v>
      </c>
      <c r="M87" s="173">
        <f>Kulud75!E48</f>
        <v>6467</v>
      </c>
      <c r="N87" s="173">
        <f t="shared" si="118"/>
        <v>6467</v>
      </c>
      <c r="O87" s="173">
        <f t="shared" si="118"/>
        <v>6467</v>
      </c>
      <c r="P87" s="173">
        <f t="shared" si="118"/>
        <v>6467</v>
      </c>
      <c r="Q87" s="173">
        <f t="shared" si="118"/>
        <v>6467</v>
      </c>
      <c r="R87" s="173">
        <f t="shared" si="118"/>
        <v>6467</v>
      </c>
      <c r="S87" s="188"/>
      <c r="T87" s="188"/>
      <c r="U87" s="189"/>
    </row>
    <row r="88" spans="1:22" hidden="1" x14ac:dyDescent="0.35">
      <c r="A88" s="771"/>
      <c r="B88" s="171" t="s">
        <v>47</v>
      </c>
      <c r="C88" s="172" t="s">
        <v>3</v>
      </c>
      <c r="D88" s="173"/>
      <c r="E88" s="173"/>
      <c r="F88" s="173"/>
      <c r="G88" s="173"/>
      <c r="H88" s="173"/>
      <c r="I88" s="173"/>
      <c r="J88" s="173"/>
      <c r="K88" s="173"/>
      <c r="L88" s="173"/>
      <c r="M88" s="173"/>
      <c r="N88" s="173"/>
      <c r="O88" s="173"/>
      <c r="P88" s="173"/>
      <c r="Q88" s="173"/>
      <c r="R88" s="173"/>
      <c r="S88" s="188"/>
      <c r="T88" s="188"/>
      <c r="U88" s="189"/>
    </row>
    <row r="89" spans="1:22" hidden="1" x14ac:dyDescent="0.35">
      <c r="A89" s="771"/>
      <c r="B89" s="171" t="s">
        <v>48</v>
      </c>
      <c r="C89" s="172" t="s">
        <v>3</v>
      </c>
      <c r="D89" s="173"/>
      <c r="E89" s="173"/>
      <c r="F89" s="173"/>
      <c r="G89" s="173"/>
      <c r="H89" s="173"/>
      <c r="I89" s="173"/>
      <c r="J89" s="173"/>
      <c r="K89" s="173"/>
      <c r="L89" s="173"/>
      <c r="M89" s="173"/>
      <c r="N89" s="173"/>
      <c r="O89" s="173"/>
      <c r="P89" s="173"/>
      <c r="Q89" s="173"/>
      <c r="R89" s="173"/>
      <c r="S89" s="188"/>
      <c r="T89" s="188"/>
      <c r="U89" s="189"/>
    </row>
    <row r="90" spans="1:22" hidden="1" x14ac:dyDescent="0.35">
      <c r="A90" s="771"/>
      <c r="B90" s="171" t="s">
        <v>49</v>
      </c>
      <c r="C90" s="172" t="s">
        <v>3</v>
      </c>
      <c r="D90" s="173"/>
      <c r="E90" s="173"/>
      <c r="F90" s="173"/>
      <c r="G90" s="173"/>
      <c r="H90" s="173"/>
      <c r="I90" s="173"/>
      <c r="J90" s="173"/>
      <c r="K90" s="173"/>
      <c r="L90" s="173"/>
      <c r="M90" s="173"/>
      <c r="N90" s="173"/>
      <c r="O90" s="173"/>
      <c r="P90" s="173"/>
      <c r="Q90" s="173"/>
      <c r="R90" s="173"/>
      <c r="S90" s="188"/>
      <c r="T90" s="188"/>
      <c r="U90" s="189"/>
    </row>
    <row r="91" spans="1:22" hidden="1" x14ac:dyDescent="0.35">
      <c r="A91" s="771"/>
      <c r="B91" s="171" t="s">
        <v>50</v>
      </c>
      <c r="C91" s="172" t="s">
        <v>3</v>
      </c>
      <c r="D91" s="173"/>
      <c r="E91" s="173"/>
      <c r="F91" s="173"/>
      <c r="G91" s="173"/>
      <c r="H91" s="173"/>
      <c r="I91" s="173"/>
      <c r="J91" s="173"/>
      <c r="K91" s="173"/>
      <c r="L91" s="173"/>
      <c r="M91" s="173"/>
      <c r="N91" s="173"/>
      <c r="O91" s="173"/>
      <c r="P91" s="173"/>
      <c r="Q91" s="173"/>
      <c r="R91" s="173"/>
      <c r="S91" s="188"/>
      <c r="T91" s="188"/>
      <c r="U91" s="189"/>
    </row>
    <row r="92" spans="1:22" x14ac:dyDescent="0.35">
      <c r="A92" s="772" t="s">
        <v>21</v>
      </c>
      <c r="B92" s="773"/>
      <c r="C92" s="192"/>
      <c r="D92" s="193">
        <f t="shared" ref="D92:R92" si="119">SUM(D82:D91)</f>
        <v>0</v>
      </c>
      <c r="E92" s="193">
        <f t="shared" si="119"/>
        <v>0</v>
      </c>
      <c r="F92" s="193">
        <f t="shared" si="119"/>
        <v>10600.073038</v>
      </c>
      <c r="G92" s="193">
        <f t="shared" si="119"/>
        <v>31800.219114</v>
      </c>
      <c r="H92" s="193">
        <f t="shared" si="119"/>
        <v>31800.219114</v>
      </c>
      <c r="I92" s="193">
        <f t="shared" si="119"/>
        <v>32061.331368000003</v>
      </c>
      <c r="J92" s="193">
        <f t="shared" si="119"/>
        <v>32061.331368000003</v>
      </c>
      <c r="K92" s="193">
        <f t="shared" si="119"/>
        <v>32061.331368000003</v>
      </c>
      <c r="L92" s="193">
        <f t="shared" si="119"/>
        <v>32061.331368000003</v>
      </c>
      <c r="M92" s="193">
        <f t="shared" si="119"/>
        <v>32322.443621999999</v>
      </c>
      <c r="N92" s="193">
        <f t="shared" si="119"/>
        <v>32322.443621999999</v>
      </c>
      <c r="O92" s="193">
        <f t="shared" si="119"/>
        <v>32322.443621999999</v>
      </c>
      <c r="P92" s="193">
        <f t="shared" si="119"/>
        <v>32322.443621999999</v>
      </c>
      <c r="Q92" s="193">
        <f t="shared" si="119"/>
        <v>32322.443621999999</v>
      </c>
      <c r="R92" s="193">
        <f t="shared" si="119"/>
        <v>32322.443621999999</v>
      </c>
      <c r="S92" s="188"/>
      <c r="T92" s="188"/>
      <c r="U92" s="189"/>
    </row>
    <row r="93" spans="1:22" ht="4.5" customHeight="1" x14ac:dyDescent="0.35">
      <c r="A93" s="157"/>
      <c r="B93" s="158"/>
      <c r="C93" s="160"/>
      <c r="D93" s="194"/>
      <c r="E93" s="194"/>
      <c r="F93" s="194"/>
      <c r="G93" s="194"/>
      <c r="H93" s="194"/>
      <c r="I93" s="194"/>
      <c r="J93" s="194"/>
      <c r="K93" s="194"/>
      <c r="L93" s="194"/>
      <c r="M93" s="194"/>
      <c r="N93" s="194"/>
      <c r="O93" s="194"/>
      <c r="P93" s="194"/>
      <c r="Q93" s="194"/>
      <c r="R93" s="195"/>
      <c r="S93" s="188"/>
      <c r="T93" s="188"/>
      <c r="U93" s="189"/>
    </row>
    <row r="94" spans="1:22" x14ac:dyDescent="0.35">
      <c r="A94" s="774" t="s">
        <v>22</v>
      </c>
      <c r="B94" s="619" t="str">
        <f>Kulud50!A36</f>
        <v>Turundus</v>
      </c>
      <c r="C94" s="172" t="s">
        <v>3</v>
      </c>
      <c r="D94" s="173"/>
      <c r="E94" s="173"/>
      <c r="F94" s="173">
        <f>Kulud25!E36*4/12</f>
        <v>12000</v>
      </c>
      <c r="G94" s="173">
        <f>Kulud25!E36</f>
        <v>36000</v>
      </c>
      <c r="H94" s="173">
        <f t="shared" ref="H94:R94" si="120">G94</f>
        <v>36000</v>
      </c>
      <c r="I94" s="173">
        <f>Kulud50!E36</f>
        <v>36000</v>
      </c>
      <c r="J94" s="173">
        <f t="shared" si="120"/>
        <v>36000</v>
      </c>
      <c r="K94" s="173">
        <f t="shared" si="120"/>
        <v>36000</v>
      </c>
      <c r="L94" s="173">
        <f t="shared" si="120"/>
        <v>36000</v>
      </c>
      <c r="M94" s="173">
        <f>Kulud75!E36</f>
        <v>36000</v>
      </c>
      <c r="N94" s="173">
        <f t="shared" si="120"/>
        <v>36000</v>
      </c>
      <c r="O94" s="173">
        <f t="shared" si="120"/>
        <v>36000</v>
      </c>
      <c r="P94" s="173">
        <f t="shared" si="120"/>
        <v>36000</v>
      </c>
      <c r="Q94" s="173">
        <f t="shared" si="120"/>
        <v>36000</v>
      </c>
      <c r="R94" s="173">
        <f t="shared" si="120"/>
        <v>36000</v>
      </c>
      <c r="S94" s="188"/>
      <c r="T94" s="188"/>
      <c r="U94" s="189"/>
      <c r="V94" s="698"/>
    </row>
    <row r="95" spans="1:22" hidden="1" x14ac:dyDescent="0.35">
      <c r="A95" s="775"/>
      <c r="B95" s="171">
        <f>Kulud50!A38</f>
        <v>0</v>
      </c>
      <c r="C95" s="172" t="s">
        <v>3</v>
      </c>
      <c r="D95" s="173">
        <f>Kulud50!E38</f>
        <v>0</v>
      </c>
      <c r="E95" s="173">
        <f>D95</f>
        <v>0</v>
      </c>
      <c r="F95" s="173">
        <f t="shared" ref="F95:R95" si="121">E95</f>
        <v>0</v>
      </c>
      <c r="G95" s="173">
        <f t="shared" si="121"/>
        <v>0</v>
      </c>
      <c r="H95" s="173">
        <f t="shared" si="121"/>
        <v>0</v>
      </c>
      <c r="I95" s="173">
        <f t="shared" si="121"/>
        <v>0</v>
      </c>
      <c r="J95" s="173">
        <f t="shared" si="121"/>
        <v>0</v>
      </c>
      <c r="K95" s="173">
        <f t="shared" si="121"/>
        <v>0</v>
      </c>
      <c r="L95" s="173">
        <f t="shared" si="121"/>
        <v>0</v>
      </c>
      <c r="M95" s="173">
        <f t="shared" si="121"/>
        <v>0</v>
      </c>
      <c r="N95" s="173">
        <f t="shared" si="121"/>
        <v>0</v>
      </c>
      <c r="O95" s="173">
        <f t="shared" si="121"/>
        <v>0</v>
      </c>
      <c r="P95" s="173">
        <f t="shared" si="121"/>
        <v>0</v>
      </c>
      <c r="Q95" s="173">
        <f t="shared" si="121"/>
        <v>0</v>
      </c>
      <c r="R95" s="173">
        <f t="shared" si="121"/>
        <v>0</v>
      </c>
      <c r="S95" s="188"/>
      <c r="T95" s="188"/>
      <c r="U95" s="189"/>
    </row>
    <row r="96" spans="1:22" hidden="1" x14ac:dyDescent="0.35">
      <c r="A96" s="775"/>
      <c r="B96" s="171">
        <f>Kulud50!A39</f>
        <v>0</v>
      </c>
      <c r="C96" s="172" t="s">
        <v>3</v>
      </c>
      <c r="D96" s="173">
        <f>Kulud50!E39</f>
        <v>0</v>
      </c>
      <c r="E96" s="173">
        <f t="shared" ref="E96:R98" si="122">D96</f>
        <v>0</v>
      </c>
      <c r="F96" s="173">
        <f t="shared" si="122"/>
        <v>0</v>
      </c>
      <c r="G96" s="173">
        <f t="shared" si="122"/>
        <v>0</v>
      </c>
      <c r="H96" s="173">
        <f t="shared" si="122"/>
        <v>0</v>
      </c>
      <c r="I96" s="173">
        <f t="shared" si="122"/>
        <v>0</v>
      </c>
      <c r="J96" s="173">
        <f t="shared" si="122"/>
        <v>0</v>
      </c>
      <c r="K96" s="173">
        <f t="shared" si="122"/>
        <v>0</v>
      </c>
      <c r="L96" s="173">
        <f t="shared" si="122"/>
        <v>0</v>
      </c>
      <c r="M96" s="173">
        <f t="shared" si="122"/>
        <v>0</v>
      </c>
      <c r="N96" s="173">
        <f t="shared" si="122"/>
        <v>0</v>
      </c>
      <c r="O96" s="173">
        <f t="shared" si="122"/>
        <v>0</v>
      </c>
      <c r="P96" s="173">
        <f t="shared" si="122"/>
        <v>0</v>
      </c>
      <c r="Q96" s="173">
        <f t="shared" si="122"/>
        <v>0</v>
      </c>
      <c r="R96" s="173">
        <f t="shared" si="122"/>
        <v>0</v>
      </c>
      <c r="S96" s="188"/>
      <c r="T96" s="188"/>
      <c r="U96" s="189"/>
    </row>
    <row r="97" spans="1:21" hidden="1" x14ac:dyDescent="0.35">
      <c r="A97" s="775"/>
      <c r="B97" s="171">
        <f>Kulud50!A40</f>
        <v>0</v>
      </c>
      <c r="C97" s="172" t="s">
        <v>3</v>
      </c>
      <c r="D97" s="173">
        <f>Kulud50!E40</f>
        <v>0</v>
      </c>
      <c r="E97" s="173">
        <f t="shared" si="122"/>
        <v>0</v>
      </c>
      <c r="F97" s="173">
        <f t="shared" si="122"/>
        <v>0</v>
      </c>
      <c r="G97" s="173">
        <f t="shared" si="122"/>
        <v>0</v>
      </c>
      <c r="H97" s="173">
        <f t="shared" si="122"/>
        <v>0</v>
      </c>
      <c r="I97" s="173">
        <f t="shared" si="122"/>
        <v>0</v>
      </c>
      <c r="J97" s="173">
        <f t="shared" si="122"/>
        <v>0</v>
      </c>
      <c r="K97" s="173">
        <f t="shared" si="122"/>
        <v>0</v>
      </c>
      <c r="L97" s="173">
        <f t="shared" si="122"/>
        <v>0</v>
      </c>
      <c r="M97" s="173">
        <f t="shared" si="122"/>
        <v>0</v>
      </c>
      <c r="N97" s="173">
        <f t="shared" si="122"/>
        <v>0</v>
      </c>
      <c r="O97" s="173">
        <f t="shared" si="122"/>
        <v>0</v>
      </c>
      <c r="P97" s="173">
        <f t="shared" si="122"/>
        <v>0</v>
      </c>
      <c r="Q97" s="173">
        <f t="shared" si="122"/>
        <v>0</v>
      </c>
      <c r="R97" s="173">
        <f t="shared" si="122"/>
        <v>0</v>
      </c>
      <c r="S97" s="188"/>
      <c r="T97" s="188"/>
      <c r="U97" s="189"/>
    </row>
    <row r="98" spans="1:21" hidden="1" x14ac:dyDescent="0.35">
      <c r="A98" s="775"/>
      <c r="B98" s="171">
        <f>Kulud50!A41</f>
        <v>0</v>
      </c>
      <c r="C98" s="172" t="s">
        <v>3</v>
      </c>
      <c r="D98" s="173">
        <f>Kulud50!E41</f>
        <v>0</v>
      </c>
      <c r="E98" s="173">
        <f t="shared" si="122"/>
        <v>0</v>
      </c>
      <c r="F98" s="173">
        <f t="shared" si="122"/>
        <v>0</v>
      </c>
      <c r="G98" s="173">
        <f t="shared" si="122"/>
        <v>0</v>
      </c>
      <c r="H98" s="173">
        <f t="shared" si="122"/>
        <v>0</v>
      </c>
      <c r="I98" s="173">
        <f t="shared" si="122"/>
        <v>0</v>
      </c>
      <c r="J98" s="173">
        <f t="shared" si="122"/>
        <v>0</v>
      </c>
      <c r="K98" s="173">
        <f t="shared" si="122"/>
        <v>0</v>
      </c>
      <c r="L98" s="173">
        <f t="shared" si="122"/>
        <v>0</v>
      </c>
      <c r="M98" s="173">
        <f t="shared" si="122"/>
        <v>0</v>
      </c>
      <c r="N98" s="173">
        <f t="shared" si="122"/>
        <v>0</v>
      </c>
      <c r="O98" s="173">
        <f t="shared" si="122"/>
        <v>0</v>
      </c>
      <c r="P98" s="173">
        <f t="shared" si="122"/>
        <v>0</v>
      </c>
      <c r="Q98" s="173">
        <f t="shared" si="122"/>
        <v>0</v>
      </c>
      <c r="R98" s="173">
        <f t="shared" si="122"/>
        <v>0</v>
      </c>
      <c r="S98" s="188"/>
      <c r="T98" s="188"/>
      <c r="U98" s="189"/>
    </row>
    <row r="99" spans="1:21" hidden="1" outlineLevel="1" x14ac:dyDescent="0.35">
      <c r="A99" s="775"/>
      <c r="B99" s="171" t="s">
        <v>23</v>
      </c>
      <c r="C99" s="172" t="s">
        <v>3</v>
      </c>
      <c r="D99" s="173"/>
      <c r="E99" s="173"/>
      <c r="F99" s="173"/>
      <c r="G99" s="173"/>
      <c r="H99" s="173"/>
      <c r="I99" s="173"/>
      <c r="J99" s="173"/>
      <c r="K99" s="173"/>
      <c r="L99" s="173"/>
      <c r="M99" s="173"/>
      <c r="N99" s="173"/>
      <c r="O99" s="173"/>
      <c r="P99" s="173"/>
      <c r="Q99" s="173"/>
      <c r="R99" s="173"/>
      <c r="S99" s="188"/>
      <c r="T99" s="188"/>
      <c r="U99" s="189"/>
    </row>
    <row r="100" spans="1:21" hidden="1" outlineLevel="1" x14ac:dyDescent="0.35">
      <c r="A100" s="775"/>
      <c r="B100" s="171" t="s">
        <v>24</v>
      </c>
      <c r="C100" s="172" t="s">
        <v>3</v>
      </c>
      <c r="D100" s="173"/>
      <c r="E100" s="173"/>
      <c r="F100" s="173"/>
      <c r="G100" s="173"/>
      <c r="H100" s="173"/>
      <c r="I100" s="173"/>
      <c r="J100" s="173"/>
      <c r="K100" s="173"/>
      <c r="L100" s="173"/>
      <c r="M100" s="173"/>
      <c r="N100" s="173"/>
      <c r="O100" s="173"/>
      <c r="P100" s="173"/>
      <c r="Q100" s="173"/>
      <c r="R100" s="173"/>
      <c r="S100" s="188"/>
      <c r="T100" s="188"/>
      <c r="U100" s="189"/>
    </row>
    <row r="101" spans="1:21" hidden="1" outlineLevel="1" x14ac:dyDescent="0.35">
      <c r="A101" s="775"/>
      <c r="B101" s="171" t="s">
        <v>25</v>
      </c>
      <c r="C101" s="172" t="s">
        <v>3</v>
      </c>
      <c r="D101" s="173"/>
      <c r="E101" s="173"/>
      <c r="F101" s="173"/>
      <c r="G101" s="173"/>
      <c r="H101" s="173"/>
      <c r="I101" s="173"/>
      <c r="J101" s="173"/>
      <c r="K101" s="173"/>
      <c r="L101" s="173"/>
      <c r="M101" s="173"/>
      <c r="N101" s="173"/>
      <c r="O101" s="173"/>
      <c r="P101" s="173"/>
      <c r="Q101" s="173"/>
      <c r="R101" s="173"/>
      <c r="S101" s="188"/>
      <c r="T101" s="188"/>
      <c r="U101" s="189"/>
    </row>
    <row r="102" spans="1:21" hidden="1" outlineLevel="1" x14ac:dyDescent="0.35">
      <c r="A102" s="775"/>
      <c r="B102" s="171" t="s">
        <v>26</v>
      </c>
      <c r="C102" s="172" t="s">
        <v>3</v>
      </c>
      <c r="D102" s="173"/>
      <c r="E102" s="173"/>
      <c r="F102" s="173"/>
      <c r="G102" s="173"/>
      <c r="H102" s="173"/>
      <c r="I102" s="173"/>
      <c r="J102" s="173"/>
      <c r="K102" s="173"/>
      <c r="L102" s="173"/>
      <c r="M102" s="173"/>
      <c r="N102" s="173"/>
      <c r="O102" s="173"/>
      <c r="P102" s="173"/>
      <c r="Q102" s="173"/>
      <c r="R102" s="173"/>
      <c r="S102" s="188"/>
      <c r="T102" s="188"/>
      <c r="U102" s="189"/>
    </row>
    <row r="103" spans="1:21" hidden="1" outlineLevel="1" x14ac:dyDescent="0.35">
      <c r="A103" s="776"/>
      <c r="B103" s="171" t="s">
        <v>27</v>
      </c>
      <c r="C103" s="172" t="s">
        <v>3</v>
      </c>
      <c r="D103" s="173"/>
      <c r="E103" s="173"/>
      <c r="F103" s="173"/>
      <c r="G103" s="173"/>
      <c r="H103" s="173"/>
      <c r="I103" s="173"/>
      <c r="J103" s="173"/>
      <c r="K103" s="173"/>
      <c r="L103" s="173"/>
      <c r="M103" s="173"/>
      <c r="N103" s="173"/>
      <c r="O103" s="173"/>
      <c r="P103" s="173"/>
      <c r="Q103" s="173"/>
      <c r="R103" s="173"/>
      <c r="S103" s="188"/>
      <c r="T103" s="188"/>
      <c r="U103" s="189"/>
    </row>
    <row r="104" spans="1:21" s="198" customFormat="1" collapsed="1" x14ac:dyDescent="0.35">
      <c r="A104" s="772" t="s">
        <v>28</v>
      </c>
      <c r="B104" s="773"/>
      <c r="C104" s="192"/>
      <c r="D104" s="193">
        <f t="shared" ref="D104:R104" si="123">SUM(D94:D103)</f>
        <v>0</v>
      </c>
      <c r="E104" s="193">
        <f t="shared" si="123"/>
        <v>0</v>
      </c>
      <c r="F104" s="193">
        <f t="shared" si="123"/>
        <v>12000</v>
      </c>
      <c r="G104" s="193">
        <f t="shared" si="123"/>
        <v>36000</v>
      </c>
      <c r="H104" s="193">
        <f t="shared" si="123"/>
        <v>36000</v>
      </c>
      <c r="I104" s="193">
        <f t="shared" si="123"/>
        <v>36000</v>
      </c>
      <c r="J104" s="193">
        <f t="shared" si="123"/>
        <v>36000</v>
      </c>
      <c r="K104" s="193">
        <f t="shared" si="123"/>
        <v>36000</v>
      </c>
      <c r="L104" s="193">
        <f t="shared" si="123"/>
        <v>36000</v>
      </c>
      <c r="M104" s="193">
        <f t="shared" si="123"/>
        <v>36000</v>
      </c>
      <c r="N104" s="193">
        <f t="shared" si="123"/>
        <v>36000</v>
      </c>
      <c r="O104" s="193">
        <f t="shared" si="123"/>
        <v>36000</v>
      </c>
      <c r="P104" s="193">
        <f t="shared" si="123"/>
        <v>36000</v>
      </c>
      <c r="Q104" s="193">
        <f t="shared" si="123"/>
        <v>36000</v>
      </c>
      <c r="R104" s="193">
        <f t="shared" si="123"/>
        <v>36000</v>
      </c>
      <c r="S104" s="196"/>
      <c r="T104" s="196"/>
      <c r="U104" s="197"/>
    </row>
    <row r="105" spans="1:21" ht="4.5" customHeight="1" x14ac:dyDescent="0.35">
      <c r="A105" s="157"/>
      <c r="B105" s="158"/>
      <c r="C105" s="160"/>
      <c r="D105" s="194"/>
      <c r="E105" s="194"/>
      <c r="F105" s="194"/>
      <c r="G105" s="194"/>
      <c r="H105" s="194"/>
      <c r="I105" s="194"/>
      <c r="J105" s="194"/>
      <c r="K105" s="194"/>
      <c r="L105" s="194"/>
      <c r="M105" s="194"/>
      <c r="N105" s="194"/>
      <c r="O105" s="194"/>
      <c r="P105" s="194"/>
      <c r="Q105" s="194"/>
      <c r="R105" s="195"/>
      <c r="S105" s="188"/>
      <c r="T105" s="188"/>
      <c r="U105" s="189"/>
    </row>
    <row r="106" spans="1:21" ht="16.5" customHeight="1" x14ac:dyDescent="0.35">
      <c r="A106" s="770" t="str">
        <f>Kulud50!A29</f>
        <v>Remonditööd</v>
      </c>
      <c r="B106" s="770"/>
      <c r="C106" s="172" t="s">
        <v>3</v>
      </c>
      <c r="D106" s="173"/>
      <c r="E106" s="173"/>
      <c r="F106" s="173">
        <f>Kulud25!E29*4/12</f>
        <v>1800</v>
      </c>
      <c r="G106" s="173">
        <f>Kulud25!E29</f>
        <v>5400</v>
      </c>
      <c r="H106" s="173">
        <f t="shared" ref="H106:R106" si="124">G106</f>
        <v>5400</v>
      </c>
      <c r="I106" s="173">
        <f>Kulud50!E29</f>
        <v>5400</v>
      </c>
      <c r="J106" s="173">
        <f t="shared" si="124"/>
        <v>5400</v>
      </c>
      <c r="K106" s="173">
        <f t="shared" si="124"/>
        <v>5400</v>
      </c>
      <c r="L106" s="173">
        <f t="shared" si="124"/>
        <v>5400</v>
      </c>
      <c r="M106" s="173">
        <f>Kulud75!E29</f>
        <v>5400</v>
      </c>
      <c r="N106" s="173">
        <f t="shared" si="124"/>
        <v>5400</v>
      </c>
      <c r="O106" s="173">
        <f t="shared" si="124"/>
        <v>5400</v>
      </c>
      <c r="P106" s="173">
        <f t="shared" si="124"/>
        <v>5400</v>
      </c>
      <c r="Q106" s="173">
        <f t="shared" si="124"/>
        <v>5400</v>
      </c>
      <c r="R106" s="173">
        <f t="shared" si="124"/>
        <v>5400</v>
      </c>
      <c r="S106" s="188"/>
      <c r="T106" s="188"/>
      <c r="U106" s="189"/>
    </row>
    <row r="107" spans="1:21" ht="16.5" customHeight="1" x14ac:dyDescent="0.35">
      <c r="A107" s="770" t="str">
        <f>Kulud50!A54</f>
        <v>Valve</v>
      </c>
      <c r="B107" s="770"/>
      <c r="C107" s="172" t="s">
        <v>3</v>
      </c>
      <c r="D107" s="173"/>
      <c r="E107" s="173"/>
      <c r="F107" s="173">
        <f>Kulud25!E54*4/12</f>
        <v>1600</v>
      </c>
      <c r="G107" s="173">
        <f>Kulud25!E54</f>
        <v>4800</v>
      </c>
      <c r="H107" s="173">
        <f t="shared" ref="H107:R107" si="125">G107</f>
        <v>4800</v>
      </c>
      <c r="I107" s="173">
        <f>Kulud50!E54</f>
        <v>4800</v>
      </c>
      <c r="J107" s="173">
        <f t="shared" si="125"/>
        <v>4800</v>
      </c>
      <c r="K107" s="173">
        <f t="shared" si="125"/>
        <v>4800</v>
      </c>
      <c r="L107" s="173">
        <f t="shared" si="125"/>
        <v>4800</v>
      </c>
      <c r="M107" s="173">
        <f>Kulud75!E54</f>
        <v>4800</v>
      </c>
      <c r="N107" s="173">
        <f t="shared" si="125"/>
        <v>4800</v>
      </c>
      <c r="O107" s="173">
        <f t="shared" si="125"/>
        <v>4800</v>
      </c>
      <c r="P107" s="173">
        <f t="shared" si="125"/>
        <v>4800</v>
      </c>
      <c r="Q107" s="173">
        <f t="shared" si="125"/>
        <v>4800</v>
      </c>
      <c r="R107" s="173">
        <f t="shared" si="125"/>
        <v>4800</v>
      </c>
      <c r="S107" s="188"/>
      <c r="T107" s="188"/>
      <c r="U107" s="189"/>
    </row>
    <row r="108" spans="1:21" ht="16.5" customHeight="1" x14ac:dyDescent="0.35">
      <c r="A108" s="770" t="str">
        <f>Kulud50!A55</f>
        <v>Kindlustus</v>
      </c>
      <c r="B108" s="770"/>
      <c r="C108" s="172" t="s">
        <v>3</v>
      </c>
      <c r="D108" s="173"/>
      <c r="E108" s="173"/>
      <c r="F108" s="173">
        <f>Kulud25!E55*4/12</f>
        <v>1090.6666666666667</v>
      </c>
      <c r="G108" s="173">
        <f>Kulud25!E55</f>
        <v>3272</v>
      </c>
      <c r="H108" s="173">
        <f t="shared" ref="H108:R109" si="126">G108</f>
        <v>3272</v>
      </c>
      <c r="I108" s="173">
        <f>Kulud50!E55</f>
        <v>3220</v>
      </c>
      <c r="J108" s="173">
        <f t="shared" si="126"/>
        <v>3220</v>
      </c>
      <c r="K108" s="173">
        <f t="shared" si="126"/>
        <v>3220</v>
      </c>
      <c r="L108" s="173">
        <f t="shared" si="126"/>
        <v>3220</v>
      </c>
      <c r="M108" s="173">
        <f>Kulud75!E55</f>
        <v>3272</v>
      </c>
      <c r="N108" s="173">
        <f t="shared" si="126"/>
        <v>3272</v>
      </c>
      <c r="O108" s="173">
        <f t="shared" si="126"/>
        <v>3272</v>
      </c>
      <c r="P108" s="173">
        <f t="shared" si="126"/>
        <v>3272</v>
      </c>
      <c r="Q108" s="173">
        <f t="shared" si="126"/>
        <v>3272</v>
      </c>
      <c r="R108" s="173">
        <f t="shared" si="126"/>
        <v>3272</v>
      </c>
      <c r="S108" s="188"/>
      <c r="T108" s="188"/>
      <c r="U108" s="189"/>
    </row>
    <row r="109" spans="1:21" ht="16.5" customHeight="1" x14ac:dyDescent="0.35">
      <c r="A109" s="770" t="str">
        <f>Kulud50!A56</f>
        <v>Muu</v>
      </c>
      <c r="B109" s="770"/>
      <c r="C109" s="172" t="s">
        <v>3</v>
      </c>
      <c r="D109" s="173"/>
      <c r="E109" s="173"/>
      <c r="F109" s="173">
        <f>Kulud25!E56*4/12</f>
        <v>1420</v>
      </c>
      <c r="G109" s="173">
        <f>Kulud25!E56</f>
        <v>4260</v>
      </c>
      <c r="H109" s="173">
        <f t="shared" si="126"/>
        <v>4260</v>
      </c>
      <c r="I109" s="173">
        <f>Kulud50!E56</f>
        <v>4260</v>
      </c>
      <c r="J109" s="173">
        <f t="shared" si="126"/>
        <v>4260</v>
      </c>
      <c r="K109" s="173">
        <f t="shared" si="126"/>
        <v>4260</v>
      </c>
      <c r="L109" s="173">
        <f t="shared" si="126"/>
        <v>4260</v>
      </c>
      <c r="M109" s="173">
        <f>Kulud75!E56</f>
        <v>4260</v>
      </c>
      <c r="N109" s="173">
        <f t="shared" si="126"/>
        <v>4260</v>
      </c>
      <c r="O109" s="173">
        <f t="shared" si="126"/>
        <v>4260</v>
      </c>
      <c r="P109" s="173">
        <f t="shared" si="126"/>
        <v>4260</v>
      </c>
      <c r="Q109" s="173">
        <f t="shared" si="126"/>
        <v>4260</v>
      </c>
      <c r="R109" s="173">
        <f t="shared" si="126"/>
        <v>4260</v>
      </c>
      <c r="S109" s="188"/>
      <c r="T109" s="188"/>
      <c r="U109" s="189"/>
    </row>
    <row r="110" spans="1:21" ht="16.5" hidden="1" customHeight="1" x14ac:dyDescent="0.35">
      <c r="A110" s="770" t="s">
        <v>33</v>
      </c>
      <c r="B110" s="770"/>
      <c r="C110" s="172" t="s">
        <v>3</v>
      </c>
      <c r="D110" s="173"/>
      <c r="E110" s="173"/>
      <c r="F110" s="173"/>
      <c r="G110" s="173"/>
      <c r="H110" s="173"/>
      <c r="I110" s="173"/>
      <c r="J110" s="173"/>
      <c r="K110" s="173"/>
      <c r="L110" s="173"/>
      <c r="M110" s="173"/>
      <c r="N110" s="173"/>
      <c r="O110" s="173"/>
      <c r="P110" s="173"/>
      <c r="Q110" s="173"/>
      <c r="R110" s="173"/>
      <c r="S110" s="188"/>
      <c r="T110" s="188"/>
      <c r="U110" s="189"/>
    </row>
    <row r="111" spans="1:21" ht="16.5" customHeight="1" x14ac:dyDescent="0.35">
      <c r="A111" s="770" t="s">
        <v>503</v>
      </c>
      <c r="B111" s="770"/>
      <c r="C111" s="172" t="s">
        <v>3</v>
      </c>
      <c r="D111" s="173"/>
      <c r="E111" s="173"/>
      <c r="F111" s="173"/>
      <c r="G111" s="173"/>
      <c r="H111" s="173"/>
      <c r="I111" s="173"/>
      <c r="J111" s="173"/>
      <c r="K111" s="173"/>
      <c r="L111" s="173"/>
      <c r="M111" s="173"/>
      <c r="N111" s="173"/>
      <c r="O111" s="173"/>
      <c r="P111" s="173"/>
      <c r="Q111" s="173"/>
      <c r="R111" s="173"/>
      <c r="S111" s="188"/>
      <c r="T111" s="188"/>
      <c r="U111" s="189"/>
    </row>
    <row r="112" spans="1:21" ht="16.5" customHeight="1" x14ac:dyDescent="0.35">
      <c r="A112" s="781" t="s">
        <v>514</v>
      </c>
      <c r="B112" s="781"/>
      <c r="C112" s="172" t="s">
        <v>3</v>
      </c>
      <c r="D112" s="173"/>
      <c r="E112" s="173"/>
      <c r="F112" s="173"/>
      <c r="G112" s="173"/>
      <c r="H112" s="173"/>
      <c r="I112" s="173"/>
      <c r="J112" s="173"/>
      <c r="K112" s="173"/>
      <c r="L112" s="173"/>
      <c r="M112" s="173"/>
      <c r="N112" s="173">
        <f>Asendusinvesteeringud!C5</f>
        <v>0</v>
      </c>
      <c r="O112" s="173"/>
      <c r="P112" s="173"/>
      <c r="Q112" s="173"/>
      <c r="R112" s="173">
        <f>Asendusinvesteeringud!D5</f>
        <v>36000</v>
      </c>
      <c r="S112" s="188"/>
      <c r="T112" s="188"/>
      <c r="U112" s="189"/>
    </row>
    <row r="113" spans="1:21" ht="16.5" hidden="1" customHeight="1" outlineLevel="1" x14ac:dyDescent="0.35">
      <c r="A113" s="770" t="s">
        <v>34</v>
      </c>
      <c r="B113" s="770"/>
      <c r="C113" s="172" t="s">
        <v>3</v>
      </c>
      <c r="D113" s="173"/>
      <c r="E113" s="173"/>
      <c r="F113" s="173"/>
      <c r="G113" s="173"/>
      <c r="H113" s="173"/>
      <c r="I113" s="173"/>
      <c r="J113" s="173"/>
      <c r="K113" s="173"/>
      <c r="L113" s="173"/>
      <c r="M113" s="173"/>
      <c r="N113" s="173"/>
      <c r="O113" s="173"/>
      <c r="P113" s="173"/>
      <c r="Q113" s="173"/>
      <c r="R113" s="173"/>
      <c r="S113" s="188"/>
      <c r="T113" s="188"/>
      <c r="U113" s="189"/>
    </row>
    <row r="114" spans="1:21" ht="16.5" hidden="1" customHeight="1" outlineLevel="1" x14ac:dyDescent="0.35">
      <c r="A114" s="770" t="s">
        <v>35</v>
      </c>
      <c r="B114" s="770"/>
      <c r="C114" s="172" t="s">
        <v>3</v>
      </c>
      <c r="D114" s="173"/>
      <c r="E114" s="173"/>
      <c r="F114" s="173"/>
      <c r="G114" s="173"/>
      <c r="H114" s="173"/>
      <c r="I114" s="173"/>
      <c r="J114" s="173"/>
      <c r="K114" s="173"/>
      <c r="L114" s="173"/>
      <c r="M114" s="173"/>
      <c r="N114" s="173"/>
      <c r="O114" s="173"/>
      <c r="P114" s="173"/>
      <c r="Q114" s="173"/>
      <c r="R114" s="173"/>
      <c r="S114" s="188"/>
      <c r="T114" s="188"/>
      <c r="U114" s="189"/>
    </row>
    <row r="115" spans="1:21" ht="16.5" hidden="1" customHeight="1" outlineLevel="1" x14ac:dyDescent="0.35">
      <c r="A115" s="770" t="s">
        <v>36</v>
      </c>
      <c r="B115" s="770"/>
      <c r="C115" s="172" t="s">
        <v>3</v>
      </c>
      <c r="D115" s="173"/>
      <c r="E115" s="173"/>
      <c r="F115" s="173"/>
      <c r="G115" s="173"/>
      <c r="H115" s="173"/>
      <c r="I115" s="173"/>
      <c r="J115" s="173"/>
      <c r="K115" s="173"/>
      <c r="L115" s="173"/>
      <c r="M115" s="173"/>
      <c r="N115" s="173"/>
      <c r="O115" s="173"/>
      <c r="P115" s="173"/>
      <c r="Q115" s="173"/>
      <c r="R115" s="173"/>
      <c r="S115" s="188"/>
      <c r="T115" s="188"/>
      <c r="U115" s="189"/>
    </row>
    <row r="116" spans="1:21" s="198" customFormat="1" collapsed="1" x14ac:dyDescent="0.35">
      <c r="A116" s="772" t="s">
        <v>29</v>
      </c>
      <c r="B116" s="773"/>
      <c r="C116" s="182" t="s">
        <v>3</v>
      </c>
      <c r="D116" s="193">
        <f t="shared" ref="D116:R116" si="127">SUM(D106:D115)</f>
        <v>0</v>
      </c>
      <c r="E116" s="193">
        <f t="shared" ref="E116:L116" si="128">SUM(E106:E115)</f>
        <v>0</v>
      </c>
      <c r="F116" s="193">
        <f t="shared" si="128"/>
        <v>5910.666666666667</v>
      </c>
      <c r="G116" s="193">
        <f t="shared" si="128"/>
        <v>17732</v>
      </c>
      <c r="H116" s="193">
        <f t="shared" si="128"/>
        <v>17732</v>
      </c>
      <c r="I116" s="193">
        <f t="shared" si="128"/>
        <v>17680</v>
      </c>
      <c r="J116" s="193">
        <f t="shared" si="128"/>
        <v>17680</v>
      </c>
      <c r="K116" s="193">
        <f t="shared" si="128"/>
        <v>17680</v>
      </c>
      <c r="L116" s="193">
        <f t="shared" si="128"/>
        <v>17680</v>
      </c>
      <c r="M116" s="193">
        <f t="shared" si="127"/>
        <v>17732</v>
      </c>
      <c r="N116" s="193">
        <f t="shared" si="127"/>
        <v>17732</v>
      </c>
      <c r="O116" s="193">
        <f t="shared" si="127"/>
        <v>17732</v>
      </c>
      <c r="P116" s="193">
        <f t="shared" si="127"/>
        <v>17732</v>
      </c>
      <c r="Q116" s="193">
        <f t="shared" si="127"/>
        <v>17732</v>
      </c>
      <c r="R116" s="193">
        <f t="shared" si="127"/>
        <v>53732</v>
      </c>
      <c r="S116" s="196"/>
      <c r="T116" s="196"/>
      <c r="U116" s="197"/>
    </row>
    <row r="117" spans="1:21" ht="4.5" customHeight="1" x14ac:dyDescent="0.35">
      <c r="A117" s="157"/>
      <c r="B117" s="158"/>
      <c r="C117" s="160"/>
      <c r="D117" s="194"/>
      <c r="E117" s="194"/>
      <c r="F117" s="194"/>
      <c r="G117" s="194"/>
      <c r="H117" s="194"/>
      <c r="I117" s="194"/>
      <c r="J117" s="194"/>
      <c r="K117" s="194"/>
      <c r="L117" s="194"/>
      <c r="M117" s="194"/>
      <c r="N117" s="194"/>
      <c r="O117" s="194"/>
      <c r="P117" s="194"/>
      <c r="Q117" s="194"/>
      <c r="R117" s="195"/>
      <c r="S117" s="188"/>
      <c r="T117" s="188"/>
      <c r="U117" s="189"/>
    </row>
    <row r="118" spans="1:21" s="185" customFormat="1" ht="20.25" customHeight="1" x14ac:dyDescent="0.35">
      <c r="A118" s="779" t="s">
        <v>30</v>
      </c>
      <c r="B118" s="780"/>
      <c r="C118" s="199" t="s">
        <v>3</v>
      </c>
      <c r="D118" s="183">
        <f t="shared" ref="D118:R118" si="129">D80+D92+D104+D116</f>
        <v>0</v>
      </c>
      <c r="E118" s="183">
        <f t="shared" ref="E118:L118" si="130">E80+E92+E104+E116</f>
        <v>0</v>
      </c>
      <c r="F118" s="183">
        <f t="shared" si="130"/>
        <v>62445.095704666666</v>
      </c>
      <c r="G118" s="183">
        <f t="shared" si="130"/>
        <v>153400.93111400001</v>
      </c>
      <c r="H118" s="183">
        <f t="shared" si="130"/>
        <v>153400.93111400001</v>
      </c>
      <c r="I118" s="183">
        <f t="shared" si="130"/>
        <v>153610.04336800001</v>
      </c>
      <c r="J118" s="183">
        <f t="shared" si="130"/>
        <v>153610.04336800001</v>
      </c>
      <c r="K118" s="183">
        <f t="shared" si="130"/>
        <v>153610.04336800001</v>
      </c>
      <c r="L118" s="183">
        <f t="shared" si="130"/>
        <v>153610.04336800001</v>
      </c>
      <c r="M118" s="183">
        <f t="shared" si="129"/>
        <v>153923.15562199999</v>
      </c>
      <c r="N118" s="183">
        <f t="shared" si="129"/>
        <v>153923.15562199999</v>
      </c>
      <c r="O118" s="183">
        <f t="shared" si="129"/>
        <v>153923.15562199999</v>
      </c>
      <c r="P118" s="183">
        <f t="shared" si="129"/>
        <v>153923.15562199999</v>
      </c>
      <c r="Q118" s="183">
        <f t="shared" si="129"/>
        <v>153923.15562199999</v>
      </c>
      <c r="R118" s="183">
        <f t="shared" si="129"/>
        <v>189923.15562199999</v>
      </c>
      <c r="S118" s="200"/>
      <c r="T118" s="200"/>
      <c r="U118" s="201"/>
    </row>
    <row r="119" spans="1:21" ht="4.5" customHeight="1" x14ac:dyDescent="0.35">
      <c r="A119" s="157"/>
      <c r="B119" s="158"/>
      <c r="C119" s="160"/>
      <c r="D119" s="194"/>
      <c r="E119" s="194"/>
      <c r="F119" s="194"/>
      <c r="G119" s="194"/>
      <c r="H119" s="194"/>
      <c r="I119" s="194"/>
      <c r="J119" s="194"/>
      <c r="K119" s="194"/>
      <c r="L119" s="194"/>
      <c r="M119" s="194"/>
      <c r="N119" s="194"/>
      <c r="O119" s="194"/>
      <c r="P119" s="194"/>
      <c r="Q119" s="194"/>
      <c r="R119" s="195"/>
      <c r="S119" s="188"/>
      <c r="T119" s="188"/>
      <c r="U119" s="189"/>
    </row>
    <row r="120" spans="1:21" ht="15" customHeight="1" x14ac:dyDescent="0.35">
      <c r="A120" s="202"/>
      <c r="B120" s="165"/>
      <c r="C120" s="167"/>
      <c r="D120" s="203"/>
      <c r="E120" s="203"/>
      <c r="F120" s="203"/>
      <c r="G120" s="203"/>
      <c r="H120" s="203"/>
      <c r="I120" s="203"/>
      <c r="J120" s="203"/>
      <c r="K120" s="203"/>
      <c r="L120" s="203"/>
      <c r="M120" s="203"/>
      <c r="N120" s="203"/>
      <c r="O120" s="203"/>
      <c r="P120" s="203"/>
      <c r="Q120" s="203"/>
      <c r="R120" s="204"/>
      <c r="S120" s="188"/>
      <c r="T120" s="188"/>
      <c r="U120" s="189"/>
    </row>
    <row r="121" spans="1:21" s="185" customFormat="1" ht="21" customHeight="1" x14ac:dyDescent="0.35">
      <c r="A121" s="777" t="s">
        <v>31</v>
      </c>
      <c r="B121" s="778"/>
      <c r="C121" s="205" t="s">
        <v>3</v>
      </c>
      <c r="D121" s="206">
        <f t="shared" ref="D121:R121" si="131">D53-D118</f>
        <v>0</v>
      </c>
      <c r="E121" s="206">
        <f t="shared" si="131"/>
        <v>0</v>
      </c>
      <c r="F121" s="206">
        <f t="shared" si="131"/>
        <v>-25754.441490800993</v>
      </c>
      <c r="G121" s="206">
        <f t="shared" si="131"/>
        <v>-43328.968472402994</v>
      </c>
      <c r="H121" s="206">
        <f t="shared" si="131"/>
        <v>-43328.968472402994</v>
      </c>
      <c r="I121" s="206">
        <f t="shared" si="131"/>
        <v>-5808.1191050415509</v>
      </c>
      <c r="J121" s="206">
        <f t="shared" si="131"/>
        <v>-5808.1191050415509</v>
      </c>
      <c r="K121" s="206">
        <f t="shared" si="131"/>
        <v>-5808.1191050415509</v>
      </c>
      <c r="L121" s="206">
        <f t="shared" si="131"/>
        <v>-5808.1191050415509</v>
      </c>
      <c r="M121" s="206">
        <f t="shared" si="131"/>
        <v>31636.023777815804</v>
      </c>
      <c r="N121" s="206">
        <f t="shared" si="131"/>
        <v>31636.023777815804</v>
      </c>
      <c r="O121" s="206">
        <f t="shared" si="131"/>
        <v>31636.023777815804</v>
      </c>
      <c r="P121" s="206">
        <f t="shared" si="131"/>
        <v>31636.023777815804</v>
      </c>
      <c r="Q121" s="206">
        <f t="shared" si="131"/>
        <v>31636.023777815804</v>
      </c>
      <c r="R121" s="206">
        <f t="shared" si="131"/>
        <v>-4363.9762221841956</v>
      </c>
      <c r="S121" s="200"/>
      <c r="T121" s="200"/>
      <c r="U121" s="201"/>
    </row>
    <row r="122" spans="1:21" ht="4.5" customHeight="1" x14ac:dyDescent="0.35">
      <c r="A122" s="157"/>
      <c r="B122" s="158"/>
      <c r="C122" s="160"/>
      <c r="D122" s="194"/>
      <c r="E122" s="194"/>
      <c r="F122" s="194"/>
      <c r="G122" s="194"/>
      <c r="H122" s="194"/>
      <c r="I122" s="194"/>
      <c r="J122" s="194"/>
      <c r="K122" s="194"/>
      <c r="L122" s="194"/>
      <c r="M122" s="194"/>
      <c r="N122" s="194"/>
      <c r="O122" s="194"/>
      <c r="P122" s="194"/>
      <c r="Q122" s="194"/>
      <c r="R122" s="195"/>
      <c r="S122" s="188"/>
      <c r="T122" s="188"/>
      <c r="U122" s="189"/>
    </row>
    <row r="123" spans="1:21" ht="16.5" customHeight="1" x14ac:dyDescent="0.35">
      <c r="B123" s="186"/>
      <c r="C123" s="163"/>
      <c r="D123" s="188"/>
      <c r="E123" s="188"/>
      <c r="F123" s="188"/>
      <c r="G123" s="188"/>
      <c r="H123" s="188"/>
      <c r="I123" s="188"/>
      <c r="J123" s="188"/>
      <c r="K123" s="188"/>
      <c r="L123" s="188"/>
      <c r="M123" s="188"/>
      <c r="N123" s="188"/>
      <c r="O123" s="188"/>
      <c r="P123" s="188"/>
      <c r="Q123" s="188"/>
      <c r="R123" s="188"/>
      <c r="S123" s="188"/>
      <c r="T123" s="188"/>
      <c r="U123" s="189"/>
    </row>
    <row r="124" spans="1:21" ht="16.5" customHeight="1" x14ac:dyDescent="0.35">
      <c r="A124" s="777" t="s">
        <v>172</v>
      </c>
      <c r="B124" s="778"/>
      <c r="C124" s="205" t="s">
        <v>3</v>
      </c>
      <c r="D124" s="206">
        <f>D121</f>
        <v>0</v>
      </c>
      <c r="E124" s="206">
        <f>D124+E121</f>
        <v>0</v>
      </c>
      <c r="F124" s="206">
        <f t="shared" ref="F124:P124" si="132">E124+F121</f>
        <v>-25754.441490800993</v>
      </c>
      <c r="G124" s="206">
        <f t="shared" si="132"/>
        <v>-69083.409963203987</v>
      </c>
      <c r="H124" s="206">
        <f t="shared" si="132"/>
        <v>-112412.37843560698</v>
      </c>
      <c r="I124" s="206">
        <f t="shared" si="132"/>
        <v>-118220.49754064853</v>
      </c>
      <c r="J124" s="206">
        <f t="shared" si="132"/>
        <v>-124028.61664569008</v>
      </c>
      <c r="K124" s="206">
        <f t="shared" si="132"/>
        <v>-129836.73575073163</v>
      </c>
      <c r="L124" s="206">
        <f t="shared" si="132"/>
        <v>-135644.85485577318</v>
      </c>
      <c r="M124" s="206">
        <f t="shared" si="132"/>
        <v>-104008.83107795738</v>
      </c>
      <c r="N124" s="206">
        <f t="shared" si="132"/>
        <v>-72372.807300141576</v>
      </c>
      <c r="O124" s="206">
        <f t="shared" si="132"/>
        <v>-40736.783522325772</v>
      </c>
      <c r="P124" s="206">
        <f t="shared" si="132"/>
        <v>-9100.7597445099673</v>
      </c>
      <c r="Q124" s="206">
        <f t="shared" ref="Q124" si="133">P124+Q121</f>
        <v>22535.264033305837</v>
      </c>
      <c r="R124" s="206">
        <f t="shared" ref="R124" si="134">Q124+R121</f>
        <v>18171.287811121641</v>
      </c>
      <c r="S124" s="188"/>
      <c r="T124" s="188"/>
      <c r="U124" s="189"/>
    </row>
    <row r="125" spans="1:21" ht="4.5" customHeight="1" x14ac:dyDescent="0.35">
      <c r="A125" s="157"/>
      <c r="B125" s="158"/>
      <c r="C125" s="160"/>
      <c r="D125" s="194"/>
      <c r="E125" s="194"/>
      <c r="F125" s="194"/>
      <c r="G125" s="194"/>
      <c r="H125" s="194"/>
      <c r="I125" s="194"/>
      <c r="J125" s="194"/>
      <c r="K125" s="194"/>
      <c r="L125" s="194"/>
      <c r="M125" s="194"/>
      <c r="N125" s="194"/>
      <c r="O125" s="194"/>
      <c r="P125" s="194"/>
      <c r="Q125" s="194"/>
      <c r="R125" s="195"/>
      <c r="S125" s="188"/>
      <c r="T125" s="188"/>
      <c r="U125" s="189"/>
    </row>
    <row r="126" spans="1:21" ht="16.5" customHeight="1" x14ac:dyDescent="0.35">
      <c r="B126" s="186"/>
      <c r="C126" s="163"/>
      <c r="D126" s="188"/>
      <c r="E126" s="188"/>
      <c r="F126" s="188"/>
      <c r="G126" s="188"/>
      <c r="H126" s="188"/>
      <c r="I126" s="188"/>
      <c r="J126" s="188"/>
      <c r="K126" s="188"/>
      <c r="L126" s="188"/>
      <c r="M126" s="188"/>
      <c r="N126" s="188"/>
      <c r="O126" s="188"/>
      <c r="P126" s="188"/>
      <c r="Q126" s="188"/>
      <c r="R126" s="188"/>
      <c r="S126" s="188"/>
      <c r="T126" s="188"/>
      <c r="U126" s="189"/>
    </row>
    <row r="127" spans="1:21" x14ac:dyDescent="0.35">
      <c r="B127" s="186"/>
      <c r="C127" s="163"/>
      <c r="D127" s="188"/>
      <c r="E127" s="188"/>
      <c r="F127" s="188"/>
      <c r="G127" s="188"/>
      <c r="H127" s="188"/>
      <c r="I127" s="188"/>
      <c r="J127" s="188"/>
      <c r="K127" s="188"/>
      <c r="L127" s="188"/>
      <c r="M127" s="188"/>
      <c r="N127" s="188"/>
      <c r="O127" s="188"/>
      <c r="P127" s="188"/>
      <c r="Q127" s="188"/>
      <c r="R127" s="188"/>
      <c r="S127" s="188"/>
      <c r="T127" s="188"/>
      <c r="U127" s="189"/>
    </row>
    <row r="128" spans="1:21" x14ac:dyDescent="0.35">
      <c r="B128" s="186"/>
      <c r="C128" s="163"/>
      <c r="D128" s="188"/>
      <c r="E128" s="188"/>
      <c r="F128" s="188"/>
      <c r="G128" s="188"/>
      <c r="H128" s="188"/>
      <c r="I128" s="188"/>
      <c r="J128" s="188"/>
      <c r="K128" s="188"/>
      <c r="L128" s="188"/>
      <c r="M128" s="188"/>
      <c r="N128" s="188"/>
      <c r="O128" s="188"/>
      <c r="P128" s="188"/>
      <c r="Q128" s="188"/>
      <c r="R128" s="188"/>
      <c r="S128" s="188"/>
      <c r="T128" s="188"/>
      <c r="U128" s="189"/>
    </row>
    <row r="129" spans="2:21" x14ac:dyDescent="0.35">
      <c r="B129" s="186"/>
      <c r="C129" s="163"/>
      <c r="D129" s="188"/>
      <c r="E129" s="188"/>
      <c r="F129" s="188"/>
      <c r="G129" s="188"/>
      <c r="H129" s="188"/>
      <c r="I129" s="188"/>
      <c r="J129" s="188"/>
      <c r="K129" s="188"/>
      <c r="L129" s="188"/>
      <c r="M129" s="188"/>
      <c r="N129" s="188"/>
      <c r="O129" s="188"/>
      <c r="P129" s="188"/>
      <c r="Q129" s="188"/>
      <c r="R129" s="188"/>
      <c r="S129" s="188"/>
      <c r="T129" s="188"/>
      <c r="U129" s="189"/>
    </row>
    <row r="130" spans="2:21" x14ac:dyDescent="0.35">
      <c r="B130" s="186"/>
      <c r="C130" s="163"/>
      <c r="D130" s="188"/>
      <c r="E130" s="188"/>
      <c r="F130" s="188"/>
      <c r="G130" s="188"/>
      <c r="H130" s="188"/>
      <c r="I130" s="188"/>
      <c r="J130" s="188"/>
      <c r="K130" s="188"/>
      <c r="L130" s="188"/>
      <c r="M130" s="188"/>
      <c r="N130" s="188"/>
      <c r="O130" s="188"/>
      <c r="P130" s="188"/>
      <c r="Q130" s="188"/>
      <c r="R130" s="188"/>
      <c r="S130" s="188"/>
      <c r="T130" s="188"/>
      <c r="U130" s="189"/>
    </row>
    <row r="131" spans="2:21" x14ac:dyDescent="0.35">
      <c r="B131" s="186"/>
      <c r="C131" s="163"/>
      <c r="D131" s="188"/>
      <c r="E131" s="188"/>
      <c r="F131" s="188"/>
      <c r="G131" s="188"/>
      <c r="H131" s="188"/>
      <c r="I131" s="188"/>
      <c r="J131" s="188"/>
      <c r="K131" s="188"/>
      <c r="L131" s="188"/>
      <c r="M131" s="188"/>
      <c r="N131" s="188"/>
      <c r="O131" s="188"/>
      <c r="P131" s="188"/>
      <c r="Q131" s="188"/>
      <c r="R131" s="188"/>
      <c r="S131" s="188"/>
      <c r="T131" s="188"/>
      <c r="U131" s="189"/>
    </row>
    <row r="132" spans="2:21" x14ac:dyDescent="0.35">
      <c r="B132" s="186"/>
      <c r="C132" s="163"/>
      <c r="D132" s="188"/>
      <c r="E132" s="188"/>
      <c r="F132" s="188"/>
      <c r="G132" s="188"/>
      <c r="H132" s="188"/>
      <c r="I132" s="188"/>
      <c r="J132" s="188"/>
      <c r="K132" s="188"/>
      <c r="L132" s="188"/>
      <c r="M132" s="188"/>
      <c r="N132" s="188"/>
      <c r="O132" s="188"/>
      <c r="P132" s="188"/>
      <c r="Q132" s="188"/>
      <c r="R132" s="188"/>
      <c r="S132" s="188"/>
      <c r="T132" s="188"/>
      <c r="U132" s="189"/>
    </row>
    <row r="133" spans="2:21" x14ac:dyDescent="0.35">
      <c r="B133" s="186"/>
      <c r="C133" s="163"/>
      <c r="D133" s="188"/>
      <c r="E133" s="188"/>
      <c r="F133" s="188"/>
      <c r="G133" s="188"/>
      <c r="H133" s="188"/>
      <c r="I133" s="188"/>
      <c r="J133" s="188"/>
      <c r="K133" s="188"/>
      <c r="L133" s="188"/>
      <c r="M133" s="188"/>
      <c r="N133" s="188"/>
      <c r="O133" s="188"/>
      <c r="P133" s="188"/>
      <c r="Q133" s="188"/>
      <c r="R133" s="188"/>
      <c r="S133" s="188"/>
      <c r="T133" s="188"/>
      <c r="U133" s="189"/>
    </row>
    <row r="134" spans="2:21" x14ac:dyDescent="0.35">
      <c r="B134" s="186"/>
      <c r="C134" s="163"/>
      <c r="D134" s="188"/>
      <c r="E134" s="188"/>
      <c r="F134" s="188"/>
      <c r="G134" s="188"/>
      <c r="H134" s="188"/>
      <c r="I134" s="188"/>
      <c r="J134" s="188"/>
      <c r="K134" s="188"/>
      <c r="L134" s="188"/>
      <c r="M134" s="188"/>
      <c r="N134" s="188"/>
      <c r="O134" s="188"/>
      <c r="P134" s="188"/>
      <c r="Q134" s="188"/>
      <c r="R134" s="188"/>
      <c r="S134" s="188"/>
      <c r="T134" s="188"/>
      <c r="U134" s="189"/>
    </row>
    <row r="135" spans="2:21" x14ac:dyDescent="0.35">
      <c r="B135" s="186"/>
      <c r="C135" s="163"/>
      <c r="D135" s="188"/>
      <c r="E135" s="188"/>
      <c r="F135" s="188"/>
      <c r="G135" s="188"/>
      <c r="H135" s="188"/>
      <c r="I135" s="188"/>
      <c r="J135" s="188"/>
      <c r="K135" s="188"/>
      <c r="L135" s="188"/>
      <c r="M135" s="188"/>
      <c r="N135" s="188"/>
      <c r="O135" s="188"/>
      <c r="P135" s="188"/>
      <c r="Q135" s="188"/>
      <c r="R135" s="188"/>
      <c r="S135" s="188"/>
      <c r="T135" s="188"/>
      <c r="U135" s="189"/>
    </row>
    <row r="136" spans="2:21" x14ac:dyDescent="0.35">
      <c r="B136" s="186"/>
      <c r="C136" s="163"/>
      <c r="D136" s="188"/>
      <c r="E136" s="188"/>
      <c r="F136" s="188"/>
      <c r="G136" s="188"/>
      <c r="H136" s="188"/>
      <c r="I136" s="188"/>
      <c r="J136" s="188"/>
      <c r="K136" s="188"/>
      <c r="L136" s="188"/>
      <c r="M136" s="188"/>
      <c r="N136" s="188"/>
      <c r="O136" s="188"/>
      <c r="P136" s="188"/>
      <c r="Q136" s="188"/>
      <c r="R136" s="188"/>
      <c r="S136" s="188"/>
      <c r="T136" s="188"/>
      <c r="U136" s="189"/>
    </row>
    <row r="137" spans="2:21" x14ac:dyDescent="0.35">
      <c r="B137" s="186"/>
      <c r="C137" s="163"/>
      <c r="D137" s="188"/>
      <c r="E137" s="188"/>
      <c r="F137" s="188"/>
      <c r="G137" s="188"/>
      <c r="H137" s="188"/>
      <c r="I137" s="188"/>
      <c r="J137" s="188"/>
      <c r="K137" s="188"/>
      <c r="L137" s="188"/>
      <c r="M137" s="188"/>
      <c r="N137" s="188"/>
      <c r="O137" s="188"/>
      <c r="P137" s="188"/>
      <c r="Q137" s="188"/>
      <c r="R137" s="188"/>
      <c r="S137" s="188"/>
      <c r="T137" s="188"/>
      <c r="U137" s="189"/>
    </row>
    <row r="138" spans="2:21" x14ac:dyDescent="0.35">
      <c r="B138" s="186"/>
      <c r="C138" s="163"/>
      <c r="D138" s="188"/>
      <c r="E138" s="188"/>
      <c r="F138" s="188"/>
      <c r="G138" s="188"/>
      <c r="H138" s="188"/>
      <c r="I138" s="188"/>
      <c r="J138" s="188"/>
      <c r="K138" s="188"/>
      <c r="L138" s="188"/>
      <c r="M138" s="188"/>
      <c r="N138" s="188"/>
      <c r="O138" s="188"/>
      <c r="P138" s="188"/>
      <c r="Q138" s="188"/>
      <c r="R138" s="188"/>
      <c r="S138" s="188"/>
      <c r="T138" s="188"/>
      <c r="U138" s="189"/>
    </row>
    <row r="139" spans="2:21" x14ac:dyDescent="0.35">
      <c r="B139" s="186"/>
      <c r="C139" s="163"/>
      <c r="D139" s="188"/>
      <c r="E139" s="188"/>
      <c r="F139" s="188"/>
      <c r="G139" s="188"/>
      <c r="H139" s="188"/>
      <c r="I139" s="188"/>
      <c r="J139" s="188"/>
      <c r="K139" s="188"/>
      <c r="L139" s="188"/>
      <c r="M139" s="188"/>
      <c r="N139" s="188"/>
      <c r="O139" s="188"/>
      <c r="P139" s="188"/>
      <c r="Q139" s="188"/>
      <c r="R139" s="188"/>
      <c r="S139" s="188"/>
      <c r="T139" s="188"/>
      <c r="U139" s="189"/>
    </row>
    <row r="140" spans="2:21" x14ac:dyDescent="0.35">
      <c r="B140" s="186"/>
      <c r="C140" s="163"/>
      <c r="D140" s="188"/>
      <c r="E140" s="188"/>
      <c r="F140" s="188"/>
      <c r="G140" s="188"/>
      <c r="H140" s="188"/>
      <c r="I140" s="188"/>
      <c r="J140" s="188"/>
      <c r="K140" s="188"/>
      <c r="L140" s="188"/>
      <c r="M140" s="188"/>
      <c r="N140" s="188"/>
      <c r="O140" s="188"/>
      <c r="P140" s="188"/>
      <c r="Q140" s="188"/>
      <c r="R140" s="188"/>
      <c r="S140" s="188"/>
      <c r="T140" s="188"/>
      <c r="U140" s="189"/>
    </row>
    <row r="141" spans="2:21" x14ac:dyDescent="0.35">
      <c r="B141" s="186"/>
      <c r="C141" s="163"/>
      <c r="D141" s="188"/>
      <c r="E141" s="188"/>
      <c r="F141" s="188"/>
      <c r="G141" s="188"/>
      <c r="H141" s="188"/>
      <c r="I141" s="188"/>
      <c r="J141" s="188"/>
      <c r="K141" s="188"/>
      <c r="L141" s="188"/>
      <c r="M141" s="188"/>
      <c r="N141" s="188"/>
      <c r="O141" s="188"/>
      <c r="P141" s="188"/>
      <c r="Q141" s="188"/>
      <c r="R141" s="188"/>
      <c r="S141" s="188"/>
      <c r="T141" s="188"/>
      <c r="U141" s="189"/>
    </row>
    <row r="142" spans="2:21" x14ac:dyDescent="0.35">
      <c r="B142" s="186"/>
      <c r="C142" s="163"/>
      <c r="D142" s="188"/>
      <c r="E142" s="188"/>
      <c r="F142" s="188"/>
      <c r="G142" s="188"/>
      <c r="H142" s="188"/>
      <c r="I142" s="188"/>
      <c r="J142" s="188"/>
      <c r="K142" s="188"/>
      <c r="L142" s="188"/>
      <c r="M142" s="188"/>
      <c r="N142" s="188"/>
      <c r="O142" s="188"/>
      <c r="P142" s="188"/>
      <c r="Q142" s="188"/>
      <c r="R142" s="188"/>
      <c r="S142" s="188"/>
      <c r="T142" s="188"/>
      <c r="U142" s="189"/>
    </row>
    <row r="143" spans="2:21" x14ac:dyDescent="0.35">
      <c r="B143" s="186"/>
      <c r="C143" s="163"/>
      <c r="D143" s="188"/>
      <c r="E143" s="188"/>
      <c r="F143" s="188"/>
      <c r="G143" s="188"/>
      <c r="H143" s="188"/>
      <c r="I143" s="188"/>
      <c r="J143" s="188"/>
      <c r="K143" s="188"/>
      <c r="L143" s="188"/>
      <c r="M143" s="188"/>
      <c r="N143" s="188"/>
      <c r="O143" s="188"/>
      <c r="P143" s="188"/>
      <c r="Q143" s="188"/>
      <c r="R143" s="188"/>
      <c r="S143" s="188"/>
      <c r="T143" s="188"/>
      <c r="U143" s="189"/>
    </row>
    <row r="144" spans="2:21" x14ac:dyDescent="0.35">
      <c r="B144" s="186"/>
      <c r="C144" s="163"/>
      <c r="D144" s="188"/>
      <c r="E144" s="188"/>
      <c r="F144" s="188"/>
      <c r="G144" s="188"/>
      <c r="H144" s="188"/>
      <c r="I144" s="188"/>
      <c r="J144" s="188"/>
      <c r="K144" s="188"/>
      <c r="L144" s="188"/>
      <c r="M144" s="188"/>
      <c r="N144" s="188"/>
      <c r="O144" s="188"/>
      <c r="P144" s="188"/>
      <c r="Q144" s="188"/>
      <c r="R144" s="188"/>
      <c r="S144" s="188"/>
      <c r="T144" s="188"/>
      <c r="U144" s="189"/>
    </row>
    <row r="145" spans="2:21" x14ac:dyDescent="0.35">
      <c r="B145" s="186"/>
      <c r="C145" s="163"/>
      <c r="D145" s="188"/>
      <c r="E145" s="188"/>
      <c r="F145" s="188"/>
      <c r="G145" s="188"/>
      <c r="H145" s="188"/>
      <c r="I145" s="188"/>
      <c r="J145" s="188"/>
      <c r="K145" s="188"/>
      <c r="L145" s="188"/>
      <c r="M145" s="188"/>
      <c r="N145" s="188"/>
      <c r="O145" s="188"/>
      <c r="P145" s="188"/>
      <c r="Q145" s="188"/>
      <c r="R145" s="188"/>
      <c r="S145" s="188"/>
      <c r="T145" s="188"/>
      <c r="U145" s="189"/>
    </row>
    <row r="146" spans="2:21" x14ac:dyDescent="0.35">
      <c r="B146" s="186"/>
      <c r="C146" s="163"/>
      <c r="D146" s="188"/>
      <c r="E146" s="188"/>
      <c r="F146" s="188"/>
      <c r="G146" s="188"/>
      <c r="H146" s="188"/>
      <c r="I146" s="188"/>
      <c r="J146" s="188"/>
      <c r="K146" s="188"/>
      <c r="L146" s="188"/>
      <c r="M146" s="188"/>
      <c r="N146" s="188"/>
      <c r="O146" s="188"/>
      <c r="P146" s="188"/>
      <c r="Q146" s="188"/>
      <c r="R146" s="188"/>
      <c r="S146" s="188"/>
      <c r="T146" s="188"/>
      <c r="U146" s="189"/>
    </row>
    <row r="147" spans="2:21" x14ac:dyDescent="0.35">
      <c r="B147" s="186"/>
      <c r="C147" s="163"/>
      <c r="D147" s="188"/>
      <c r="E147" s="188"/>
      <c r="F147" s="188"/>
      <c r="G147" s="188"/>
      <c r="H147" s="188"/>
      <c r="I147" s="188"/>
      <c r="J147" s="188"/>
      <c r="K147" s="188"/>
      <c r="L147" s="188"/>
      <c r="M147" s="188"/>
      <c r="N147" s="188"/>
      <c r="O147" s="188"/>
      <c r="P147" s="188"/>
      <c r="Q147" s="188"/>
      <c r="R147" s="188"/>
      <c r="S147" s="188"/>
      <c r="T147" s="188"/>
      <c r="U147" s="189"/>
    </row>
    <row r="148" spans="2:21" x14ac:dyDescent="0.35">
      <c r="B148" s="186"/>
      <c r="C148" s="163"/>
      <c r="D148" s="188"/>
      <c r="E148" s="188"/>
      <c r="F148" s="188"/>
      <c r="G148" s="188"/>
      <c r="H148" s="188"/>
      <c r="I148" s="188"/>
      <c r="J148" s="188"/>
      <c r="K148" s="188"/>
      <c r="L148" s="188"/>
      <c r="M148" s="188"/>
      <c r="N148" s="188"/>
      <c r="O148" s="188"/>
      <c r="P148" s="188"/>
      <c r="Q148" s="188"/>
      <c r="R148" s="188"/>
      <c r="S148" s="188"/>
      <c r="T148" s="188"/>
      <c r="U148" s="189"/>
    </row>
    <row r="149" spans="2:21" x14ac:dyDescent="0.35">
      <c r="B149" s="186"/>
      <c r="C149" s="163"/>
      <c r="D149" s="188"/>
      <c r="E149" s="188"/>
      <c r="F149" s="188"/>
      <c r="G149" s="188"/>
      <c r="H149" s="188"/>
      <c r="I149" s="188"/>
      <c r="J149" s="188"/>
      <c r="K149" s="188"/>
      <c r="L149" s="188"/>
      <c r="M149" s="188"/>
      <c r="N149" s="188"/>
      <c r="O149" s="188"/>
      <c r="P149" s="188"/>
      <c r="Q149" s="188"/>
      <c r="R149" s="188"/>
      <c r="S149" s="188"/>
      <c r="T149" s="188"/>
      <c r="U149" s="189"/>
    </row>
    <row r="150" spans="2:21" x14ac:dyDescent="0.35">
      <c r="B150" s="186"/>
      <c r="C150" s="163"/>
      <c r="D150" s="188"/>
      <c r="E150" s="188"/>
      <c r="F150" s="188"/>
      <c r="G150" s="188"/>
      <c r="H150" s="188"/>
      <c r="I150" s="188"/>
      <c r="J150" s="188"/>
      <c r="K150" s="188"/>
      <c r="L150" s="188"/>
      <c r="M150" s="188"/>
      <c r="N150" s="188"/>
      <c r="O150" s="188"/>
      <c r="P150" s="188"/>
      <c r="Q150" s="188"/>
      <c r="R150" s="188"/>
      <c r="S150" s="188"/>
      <c r="T150" s="188"/>
      <c r="U150" s="189"/>
    </row>
    <row r="151" spans="2:21" x14ac:dyDescent="0.35">
      <c r="B151" s="186"/>
      <c r="C151" s="163"/>
      <c r="D151" s="188"/>
      <c r="E151" s="188"/>
      <c r="F151" s="188"/>
      <c r="G151" s="188"/>
      <c r="H151" s="188"/>
      <c r="I151" s="188"/>
      <c r="J151" s="188"/>
      <c r="K151" s="188"/>
      <c r="L151" s="188"/>
      <c r="M151" s="188"/>
      <c r="N151" s="188"/>
      <c r="O151" s="188"/>
      <c r="P151" s="188"/>
      <c r="Q151" s="188"/>
      <c r="R151" s="188"/>
      <c r="S151" s="188"/>
      <c r="T151" s="188"/>
      <c r="U151" s="189"/>
    </row>
    <row r="152" spans="2:21" x14ac:dyDescent="0.35">
      <c r="B152" s="186"/>
      <c r="C152" s="163"/>
      <c r="D152" s="188"/>
      <c r="E152" s="188"/>
      <c r="F152" s="188"/>
      <c r="G152" s="188"/>
      <c r="H152" s="188"/>
      <c r="I152" s="188"/>
      <c r="J152" s="188"/>
      <c r="K152" s="188"/>
      <c r="L152" s="188"/>
      <c r="M152" s="188"/>
      <c r="N152" s="188"/>
      <c r="O152" s="188"/>
      <c r="P152" s="188"/>
      <c r="Q152" s="188"/>
      <c r="R152" s="188"/>
      <c r="S152" s="188"/>
      <c r="T152" s="188"/>
      <c r="U152" s="189"/>
    </row>
    <row r="153" spans="2:21" x14ac:dyDescent="0.35">
      <c r="B153" s="186"/>
      <c r="C153" s="163"/>
      <c r="D153" s="188"/>
      <c r="E153" s="188"/>
      <c r="F153" s="188"/>
      <c r="G153" s="188"/>
      <c r="H153" s="188"/>
      <c r="I153" s="188"/>
      <c r="J153" s="188"/>
      <c r="K153" s="188"/>
      <c r="L153" s="188"/>
      <c r="M153" s="188"/>
      <c r="N153" s="188"/>
      <c r="O153" s="188"/>
      <c r="P153" s="188"/>
      <c r="Q153" s="188"/>
      <c r="R153" s="188"/>
      <c r="S153" s="188"/>
      <c r="T153" s="188"/>
      <c r="U153" s="189"/>
    </row>
    <row r="154" spans="2:21" x14ac:dyDescent="0.35">
      <c r="B154" s="186"/>
      <c r="C154" s="163"/>
      <c r="D154" s="188"/>
      <c r="E154" s="188"/>
      <c r="F154" s="188"/>
      <c r="G154" s="188"/>
      <c r="H154" s="188"/>
      <c r="I154" s="188"/>
      <c r="J154" s="188"/>
      <c r="K154" s="188"/>
      <c r="L154" s="188"/>
      <c r="M154" s="188"/>
      <c r="N154" s="188"/>
      <c r="O154" s="188"/>
      <c r="P154" s="188"/>
      <c r="Q154" s="188"/>
      <c r="R154" s="188"/>
      <c r="S154" s="188"/>
      <c r="T154" s="188"/>
      <c r="U154" s="189"/>
    </row>
    <row r="155" spans="2:21" x14ac:dyDescent="0.35">
      <c r="B155" s="186"/>
      <c r="C155" s="163"/>
      <c r="D155" s="188"/>
      <c r="E155" s="188"/>
      <c r="F155" s="188"/>
      <c r="G155" s="188"/>
      <c r="H155" s="188"/>
      <c r="I155" s="188"/>
      <c r="J155" s="188"/>
      <c r="K155" s="188"/>
      <c r="L155" s="188"/>
      <c r="M155" s="188"/>
      <c r="N155" s="188"/>
      <c r="O155" s="188"/>
      <c r="P155" s="188"/>
      <c r="Q155" s="188"/>
      <c r="R155" s="188"/>
      <c r="S155" s="188"/>
      <c r="T155" s="188"/>
      <c r="U155" s="189"/>
    </row>
    <row r="156" spans="2:21" x14ac:dyDescent="0.35">
      <c r="B156" s="186"/>
      <c r="C156" s="163"/>
      <c r="D156" s="188"/>
      <c r="E156" s="188"/>
      <c r="F156" s="188"/>
      <c r="G156" s="188"/>
      <c r="H156" s="188"/>
      <c r="I156" s="188"/>
      <c r="J156" s="188"/>
      <c r="K156" s="188"/>
      <c r="L156" s="188"/>
      <c r="M156" s="188"/>
      <c r="N156" s="188"/>
      <c r="O156" s="188"/>
      <c r="P156" s="188"/>
      <c r="Q156" s="188"/>
      <c r="R156" s="188"/>
      <c r="S156" s="188"/>
      <c r="T156" s="188"/>
      <c r="U156" s="189"/>
    </row>
    <row r="157" spans="2:21" x14ac:dyDescent="0.35">
      <c r="B157" s="186"/>
      <c r="C157" s="163"/>
      <c r="D157" s="188"/>
      <c r="E157" s="188"/>
      <c r="F157" s="188"/>
      <c r="G157" s="188"/>
      <c r="H157" s="188"/>
      <c r="I157" s="188"/>
      <c r="J157" s="188"/>
      <c r="K157" s="188"/>
      <c r="L157" s="188"/>
      <c r="M157" s="188"/>
      <c r="N157" s="188"/>
      <c r="O157" s="188"/>
      <c r="P157" s="188"/>
      <c r="Q157" s="188"/>
      <c r="R157" s="188"/>
      <c r="S157" s="188"/>
      <c r="T157" s="188"/>
      <c r="U157" s="189"/>
    </row>
    <row r="158" spans="2:21" x14ac:dyDescent="0.35">
      <c r="B158" s="186"/>
      <c r="C158" s="163"/>
      <c r="D158" s="188"/>
      <c r="E158" s="188"/>
      <c r="F158" s="188"/>
      <c r="G158" s="188"/>
      <c r="H158" s="188"/>
      <c r="I158" s="188"/>
      <c r="J158" s="188"/>
      <c r="K158" s="188"/>
      <c r="L158" s="188"/>
      <c r="M158" s="188"/>
      <c r="N158" s="188"/>
      <c r="O158" s="188"/>
      <c r="P158" s="188"/>
      <c r="Q158" s="188"/>
      <c r="R158" s="188"/>
      <c r="S158" s="188"/>
      <c r="T158" s="188"/>
      <c r="U158" s="189"/>
    </row>
    <row r="159" spans="2:21" x14ac:dyDescent="0.35">
      <c r="B159" s="186"/>
      <c r="C159" s="163"/>
      <c r="D159" s="188"/>
      <c r="E159" s="188"/>
      <c r="F159" s="188"/>
      <c r="G159" s="188"/>
      <c r="H159" s="188"/>
      <c r="I159" s="188"/>
      <c r="J159" s="188"/>
      <c r="K159" s="188"/>
      <c r="L159" s="188"/>
      <c r="M159" s="188"/>
      <c r="N159" s="188"/>
      <c r="O159" s="188"/>
      <c r="P159" s="188"/>
      <c r="Q159" s="188"/>
      <c r="R159" s="188"/>
      <c r="S159" s="188"/>
      <c r="T159" s="188"/>
      <c r="U159" s="189"/>
    </row>
    <row r="160" spans="2:21" x14ac:dyDescent="0.35">
      <c r="B160" s="186"/>
      <c r="C160" s="163"/>
      <c r="D160" s="188"/>
      <c r="E160" s="188"/>
      <c r="F160" s="188"/>
      <c r="G160" s="188"/>
      <c r="H160" s="188"/>
      <c r="I160" s="188"/>
      <c r="J160" s="188"/>
      <c r="K160" s="188"/>
      <c r="L160" s="188"/>
      <c r="M160" s="188"/>
      <c r="N160" s="188"/>
      <c r="O160" s="188"/>
      <c r="P160" s="188"/>
      <c r="Q160" s="188"/>
      <c r="R160" s="188"/>
      <c r="S160" s="188"/>
      <c r="T160" s="188"/>
      <c r="U160" s="189"/>
    </row>
    <row r="161" spans="2:21" x14ac:dyDescent="0.35">
      <c r="B161" s="186"/>
      <c r="C161" s="163"/>
      <c r="D161" s="188"/>
      <c r="E161" s="188"/>
      <c r="F161" s="188"/>
      <c r="G161" s="188"/>
      <c r="H161" s="188"/>
      <c r="I161" s="188"/>
      <c r="J161" s="188"/>
      <c r="K161" s="188"/>
      <c r="L161" s="188"/>
      <c r="M161" s="188"/>
      <c r="N161" s="188"/>
      <c r="O161" s="188"/>
      <c r="P161" s="188"/>
      <c r="Q161" s="188"/>
      <c r="R161" s="188"/>
      <c r="S161" s="188"/>
      <c r="T161" s="188"/>
      <c r="U161" s="189"/>
    </row>
    <row r="162" spans="2:21" x14ac:dyDescent="0.35">
      <c r="B162" s="186"/>
      <c r="C162" s="163"/>
      <c r="D162" s="188"/>
      <c r="E162" s="188"/>
      <c r="F162" s="188"/>
      <c r="G162" s="188"/>
      <c r="H162" s="188"/>
      <c r="I162" s="188"/>
      <c r="J162" s="188"/>
      <c r="K162" s="188"/>
      <c r="L162" s="188"/>
      <c r="M162" s="188"/>
      <c r="N162" s="188"/>
      <c r="O162" s="188"/>
      <c r="P162" s="188"/>
      <c r="Q162" s="188"/>
      <c r="R162" s="188"/>
      <c r="S162" s="188"/>
      <c r="T162" s="188"/>
      <c r="U162" s="189"/>
    </row>
    <row r="163" spans="2:21" x14ac:dyDescent="0.35">
      <c r="B163" s="186"/>
      <c r="C163" s="163"/>
      <c r="D163" s="188"/>
      <c r="E163" s="188"/>
      <c r="F163" s="188"/>
      <c r="G163" s="188"/>
      <c r="H163" s="188"/>
      <c r="I163" s="188"/>
      <c r="J163" s="188"/>
      <c r="K163" s="188"/>
      <c r="L163" s="188"/>
      <c r="M163" s="188"/>
      <c r="N163" s="188"/>
      <c r="O163" s="188"/>
      <c r="P163" s="188"/>
      <c r="Q163" s="188"/>
      <c r="R163" s="188"/>
      <c r="S163" s="188"/>
      <c r="T163" s="188"/>
      <c r="U163" s="189"/>
    </row>
    <row r="164" spans="2:21" x14ac:dyDescent="0.35">
      <c r="B164" s="186"/>
      <c r="C164" s="163"/>
      <c r="D164" s="188"/>
      <c r="E164" s="188"/>
      <c r="F164" s="188"/>
      <c r="G164" s="188"/>
      <c r="H164" s="188"/>
      <c r="I164" s="188"/>
      <c r="J164" s="188"/>
      <c r="K164" s="188"/>
      <c r="L164" s="188"/>
      <c r="M164" s="188"/>
      <c r="N164" s="188"/>
      <c r="O164" s="188"/>
      <c r="P164" s="188"/>
      <c r="Q164" s="188"/>
      <c r="R164" s="188"/>
      <c r="S164" s="188"/>
      <c r="T164" s="188"/>
      <c r="U164" s="189"/>
    </row>
    <row r="165" spans="2:21" x14ac:dyDescent="0.35">
      <c r="B165" s="186"/>
      <c r="C165" s="163"/>
      <c r="D165" s="188"/>
      <c r="E165" s="188"/>
      <c r="F165" s="188"/>
      <c r="G165" s="188"/>
      <c r="H165" s="188"/>
      <c r="I165" s="188"/>
      <c r="J165" s="188"/>
      <c r="K165" s="188"/>
      <c r="L165" s="188"/>
      <c r="M165" s="188"/>
      <c r="N165" s="188"/>
      <c r="O165" s="188"/>
      <c r="P165" s="188"/>
      <c r="Q165" s="188"/>
      <c r="R165" s="188"/>
      <c r="S165" s="188"/>
      <c r="T165" s="188"/>
      <c r="U165" s="189"/>
    </row>
    <row r="166" spans="2:21" x14ac:dyDescent="0.35">
      <c r="B166" s="186"/>
      <c r="C166" s="163"/>
      <c r="D166" s="188"/>
      <c r="E166" s="188"/>
      <c r="F166" s="188"/>
      <c r="G166" s="188"/>
      <c r="H166" s="188"/>
      <c r="I166" s="188"/>
      <c r="J166" s="188"/>
      <c r="K166" s="188"/>
      <c r="L166" s="188"/>
      <c r="M166" s="188"/>
      <c r="N166" s="188"/>
      <c r="O166" s="188"/>
      <c r="P166" s="188"/>
      <c r="Q166" s="188"/>
      <c r="R166" s="188"/>
      <c r="S166" s="188"/>
      <c r="T166" s="188"/>
      <c r="U166" s="189"/>
    </row>
    <row r="167" spans="2:21" x14ac:dyDescent="0.35">
      <c r="B167" s="186"/>
      <c r="C167" s="163"/>
      <c r="D167" s="188"/>
      <c r="E167" s="188"/>
      <c r="F167" s="188"/>
      <c r="G167" s="188"/>
      <c r="H167" s="188"/>
      <c r="I167" s="188"/>
      <c r="J167" s="188"/>
      <c r="K167" s="188"/>
      <c r="L167" s="188"/>
      <c r="M167" s="188"/>
      <c r="N167" s="188"/>
      <c r="O167" s="188"/>
      <c r="P167" s="188"/>
      <c r="Q167" s="188"/>
      <c r="R167" s="188"/>
      <c r="S167" s="188"/>
      <c r="T167" s="188"/>
      <c r="U167" s="189"/>
    </row>
    <row r="168" spans="2:21" x14ac:dyDescent="0.35">
      <c r="B168" s="186"/>
      <c r="C168" s="163"/>
      <c r="D168" s="188"/>
      <c r="E168" s="188"/>
      <c r="F168" s="188"/>
      <c r="G168" s="188"/>
      <c r="H168" s="188"/>
      <c r="I168" s="188"/>
      <c r="J168" s="188"/>
      <c r="K168" s="188"/>
      <c r="L168" s="188"/>
      <c r="M168" s="188"/>
      <c r="N168" s="188"/>
      <c r="O168" s="188"/>
      <c r="P168" s="188"/>
      <c r="Q168" s="188"/>
      <c r="R168" s="188"/>
      <c r="S168" s="188"/>
      <c r="T168" s="188"/>
      <c r="U168" s="189"/>
    </row>
    <row r="169" spans="2:21" x14ac:dyDescent="0.35">
      <c r="B169" s="186"/>
      <c r="C169" s="163"/>
      <c r="D169" s="188"/>
      <c r="E169" s="188"/>
      <c r="F169" s="188"/>
      <c r="G169" s="188"/>
      <c r="H169" s="188"/>
      <c r="I169" s="188"/>
      <c r="J169" s="188"/>
      <c r="K169" s="188"/>
      <c r="L169" s="188"/>
      <c r="M169" s="188"/>
      <c r="N169" s="188"/>
      <c r="O169" s="188"/>
      <c r="P169" s="188"/>
      <c r="Q169" s="188"/>
      <c r="R169" s="188"/>
      <c r="S169" s="188"/>
      <c r="T169" s="188"/>
      <c r="U169" s="189"/>
    </row>
    <row r="170" spans="2:21" x14ac:dyDescent="0.35">
      <c r="B170" s="186"/>
      <c r="C170" s="163"/>
      <c r="D170" s="188"/>
      <c r="E170" s="188"/>
      <c r="F170" s="188"/>
      <c r="G170" s="188"/>
      <c r="H170" s="188"/>
      <c r="I170" s="188"/>
      <c r="J170" s="188"/>
      <c r="K170" s="188"/>
      <c r="L170" s="188"/>
      <c r="M170" s="188"/>
      <c r="N170" s="188"/>
      <c r="O170" s="188"/>
      <c r="P170" s="188"/>
      <c r="Q170" s="188"/>
      <c r="R170" s="188"/>
      <c r="S170" s="188"/>
      <c r="T170" s="188"/>
      <c r="U170" s="189"/>
    </row>
    <row r="171" spans="2:21" x14ac:dyDescent="0.35">
      <c r="B171" s="186"/>
      <c r="C171" s="163"/>
      <c r="D171" s="188"/>
      <c r="E171" s="188"/>
      <c r="F171" s="188"/>
      <c r="G171" s="188"/>
      <c r="H171" s="188"/>
      <c r="I171" s="188"/>
      <c r="J171" s="188"/>
      <c r="K171" s="188"/>
      <c r="L171" s="188"/>
      <c r="M171" s="188"/>
      <c r="N171" s="188"/>
      <c r="O171" s="188"/>
      <c r="P171" s="188"/>
      <c r="Q171" s="188"/>
      <c r="R171" s="188"/>
      <c r="S171" s="188"/>
      <c r="T171" s="188"/>
      <c r="U171" s="189"/>
    </row>
    <row r="172" spans="2:21" x14ac:dyDescent="0.35">
      <c r="B172" s="186"/>
      <c r="C172" s="163"/>
      <c r="D172" s="188"/>
      <c r="E172" s="188"/>
      <c r="F172" s="188"/>
      <c r="G172" s="188"/>
      <c r="H172" s="188"/>
      <c r="I172" s="188"/>
      <c r="J172" s="188"/>
      <c r="K172" s="188"/>
      <c r="L172" s="188"/>
      <c r="M172" s="188"/>
      <c r="N172" s="188"/>
      <c r="O172" s="188"/>
      <c r="P172" s="188"/>
      <c r="Q172" s="188"/>
      <c r="R172" s="188"/>
      <c r="S172" s="188"/>
      <c r="T172" s="188"/>
      <c r="U172" s="189"/>
    </row>
    <row r="173" spans="2:21" x14ac:dyDescent="0.35">
      <c r="B173" s="186"/>
      <c r="C173" s="163"/>
      <c r="D173" s="188"/>
      <c r="E173" s="188"/>
      <c r="F173" s="188"/>
      <c r="G173" s="188"/>
      <c r="H173" s="188"/>
      <c r="I173" s="188"/>
      <c r="J173" s="188"/>
      <c r="K173" s="188"/>
      <c r="L173" s="188"/>
      <c r="M173" s="188"/>
      <c r="N173" s="188"/>
      <c r="O173" s="188"/>
      <c r="P173" s="188"/>
      <c r="Q173" s="188"/>
      <c r="R173" s="188"/>
      <c r="S173" s="188"/>
      <c r="T173" s="188"/>
      <c r="U173" s="189"/>
    </row>
    <row r="174" spans="2:21" x14ac:dyDescent="0.35">
      <c r="B174" s="186"/>
      <c r="C174" s="163"/>
      <c r="D174" s="188"/>
      <c r="E174" s="188"/>
      <c r="F174" s="188"/>
      <c r="G174" s="188"/>
      <c r="H174" s="188"/>
      <c r="I174" s="188"/>
      <c r="J174" s="188"/>
      <c r="K174" s="188"/>
      <c r="L174" s="188"/>
      <c r="M174" s="188"/>
      <c r="N174" s="188"/>
      <c r="O174" s="188"/>
      <c r="P174" s="188"/>
      <c r="Q174" s="188"/>
      <c r="R174" s="188"/>
      <c r="S174" s="188"/>
      <c r="T174" s="188"/>
      <c r="U174" s="189"/>
    </row>
    <row r="175" spans="2:21" x14ac:dyDescent="0.35">
      <c r="B175" s="186"/>
      <c r="C175" s="163"/>
      <c r="D175" s="188"/>
      <c r="E175" s="188"/>
      <c r="F175" s="188"/>
      <c r="G175" s="188"/>
      <c r="H175" s="188"/>
      <c r="I175" s="188"/>
      <c r="J175" s="188"/>
      <c r="K175" s="188"/>
      <c r="L175" s="188"/>
      <c r="M175" s="188"/>
      <c r="N175" s="188"/>
      <c r="O175" s="188"/>
      <c r="P175" s="188"/>
      <c r="Q175" s="188"/>
      <c r="R175" s="188"/>
      <c r="S175" s="188"/>
      <c r="T175" s="188"/>
      <c r="U175" s="189"/>
    </row>
    <row r="176" spans="2:21" x14ac:dyDescent="0.35">
      <c r="B176" s="186"/>
      <c r="C176" s="163"/>
      <c r="D176" s="188"/>
      <c r="E176" s="188"/>
      <c r="F176" s="188"/>
      <c r="G176" s="188"/>
      <c r="H176" s="188"/>
      <c r="I176" s="188"/>
      <c r="J176" s="188"/>
      <c r="K176" s="188"/>
      <c r="L176" s="188"/>
      <c r="M176" s="188"/>
      <c r="N176" s="188"/>
      <c r="O176" s="188"/>
      <c r="P176" s="188"/>
      <c r="Q176" s="188"/>
      <c r="R176" s="188"/>
      <c r="S176" s="188"/>
      <c r="T176" s="188"/>
      <c r="U176" s="189"/>
    </row>
    <row r="177" spans="2:21" x14ac:dyDescent="0.35">
      <c r="B177" s="186"/>
      <c r="C177" s="163"/>
      <c r="D177" s="188"/>
      <c r="E177" s="188"/>
      <c r="F177" s="188"/>
      <c r="G177" s="188"/>
      <c r="H177" s="188"/>
      <c r="I177" s="188"/>
      <c r="J177" s="188"/>
      <c r="K177" s="188"/>
      <c r="L177" s="188"/>
      <c r="M177" s="188"/>
      <c r="N177" s="188"/>
      <c r="O177" s="188"/>
      <c r="P177" s="188"/>
      <c r="Q177" s="188"/>
      <c r="R177" s="188"/>
      <c r="S177" s="188"/>
      <c r="T177" s="188"/>
      <c r="U177" s="189"/>
    </row>
    <row r="178" spans="2:21" x14ac:dyDescent="0.35">
      <c r="B178" s="186"/>
      <c r="C178" s="163"/>
      <c r="D178" s="188"/>
      <c r="E178" s="188"/>
      <c r="F178" s="188"/>
      <c r="G178" s="188"/>
      <c r="H178" s="188"/>
      <c r="I178" s="188"/>
      <c r="J178" s="188"/>
      <c r="K178" s="188"/>
      <c r="L178" s="188"/>
      <c r="M178" s="188"/>
      <c r="N178" s="188"/>
      <c r="O178" s="188"/>
      <c r="P178" s="188"/>
      <c r="Q178" s="188"/>
      <c r="R178" s="188"/>
      <c r="S178" s="188"/>
      <c r="T178" s="188"/>
      <c r="U178" s="189"/>
    </row>
    <row r="179" spans="2:21" x14ac:dyDescent="0.35">
      <c r="B179" s="186"/>
      <c r="C179" s="163"/>
      <c r="D179" s="188"/>
      <c r="E179" s="188"/>
      <c r="F179" s="188"/>
      <c r="G179" s="188"/>
      <c r="H179" s="188"/>
      <c r="I179" s="188"/>
      <c r="J179" s="188"/>
      <c r="K179" s="188"/>
      <c r="L179" s="188"/>
      <c r="M179" s="188"/>
      <c r="N179" s="188"/>
      <c r="O179" s="188"/>
      <c r="P179" s="188"/>
      <c r="Q179" s="188"/>
      <c r="R179" s="188"/>
      <c r="S179" s="188"/>
      <c r="T179" s="188"/>
      <c r="U179" s="189"/>
    </row>
    <row r="180" spans="2:21" x14ac:dyDescent="0.35">
      <c r="B180" s="186"/>
      <c r="C180" s="163"/>
      <c r="D180" s="188"/>
      <c r="E180" s="188"/>
      <c r="F180" s="188"/>
      <c r="G180" s="188"/>
      <c r="H180" s="188"/>
      <c r="I180" s="188"/>
      <c r="J180" s="188"/>
      <c r="K180" s="188"/>
      <c r="L180" s="188"/>
      <c r="M180" s="188"/>
      <c r="N180" s="188"/>
      <c r="O180" s="188"/>
      <c r="P180" s="188"/>
      <c r="Q180" s="188"/>
      <c r="R180" s="188"/>
      <c r="S180" s="188"/>
      <c r="T180" s="188"/>
      <c r="U180" s="189"/>
    </row>
    <row r="181" spans="2:21" x14ac:dyDescent="0.35">
      <c r="B181" s="186"/>
      <c r="C181" s="163"/>
      <c r="D181" s="188"/>
      <c r="E181" s="188"/>
      <c r="F181" s="188"/>
      <c r="G181" s="188"/>
      <c r="H181" s="188"/>
      <c r="I181" s="188"/>
      <c r="J181" s="188"/>
      <c r="K181" s="188"/>
      <c r="L181" s="188"/>
      <c r="M181" s="188"/>
      <c r="N181" s="188"/>
      <c r="O181" s="188"/>
      <c r="P181" s="188"/>
      <c r="Q181" s="188"/>
      <c r="R181" s="188"/>
      <c r="S181" s="188"/>
      <c r="T181" s="188"/>
      <c r="U181" s="189"/>
    </row>
    <row r="182" spans="2:21" x14ac:dyDescent="0.35">
      <c r="B182" s="186"/>
      <c r="C182" s="163"/>
      <c r="D182" s="188"/>
      <c r="E182" s="188"/>
      <c r="F182" s="188"/>
      <c r="G182" s="188"/>
      <c r="H182" s="188"/>
      <c r="I182" s="188"/>
      <c r="J182" s="188"/>
      <c r="K182" s="188"/>
      <c r="L182" s="188"/>
      <c r="M182" s="188"/>
      <c r="N182" s="188"/>
      <c r="O182" s="188"/>
      <c r="P182" s="188"/>
      <c r="Q182" s="188"/>
      <c r="R182" s="188"/>
      <c r="S182" s="188"/>
      <c r="T182" s="188"/>
      <c r="U182" s="189"/>
    </row>
    <row r="183" spans="2:21" x14ac:dyDescent="0.35">
      <c r="B183" s="186"/>
      <c r="C183" s="163"/>
      <c r="D183" s="188"/>
      <c r="E183" s="188"/>
      <c r="F183" s="188"/>
      <c r="G183" s="188"/>
      <c r="H183" s="188"/>
      <c r="I183" s="188"/>
      <c r="J183" s="188"/>
      <c r="K183" s="188"/>
      <c r="L183" s="188"/>
      <c r="M183" s="188"/>
      <c r="N183" s="188"/>
      <c r="O183" s="188"/>
      <c r="P183" s="188"/>
      <c r="Q183" s="188"/>
      <c r="R183" s="188"/>
      <c r="S183" s="188"/>
      <c r="T183" s="188"/>
      <c r="U183" s="189"/>
    </row>
    <row r="184" spans="2:21" x14ac:dyDescent="0.35">
      <c r="B184" s="186"/>
      <c r="C184" s="163"/>
      <c r="D184" s="188"/>
      <c r="E184" s="188"/>
      <c r="F184" s="188"/>
      <c r="G184" s="188"/>
      <c r="H184" s="188"/>
      <c r="I184" s="188"/>
      <c r="J184" s="188"/>
      <c r="K184" s="188"/>
      <c r="L184" s="188"/>
      <c r="M184" s="188"/>
      <c r="N184" s="188"/>
      <c r="O184" s="188"/>
      <c r="P184" s="188"/>
      <c r="Q184" s="188"/>
      <c r="R184" s="188"/>
      <c r="S184" s="188"/>
      <c r="T184" s="188"/>
      <c r="U184" s="189"/>
    </row>
    <row r="185" spans="2:21" x14ac:dyDescent="0.35">
      <c r="B185" s="186"/>
      <c r="C185" s="163"/>
      <c r="D185" s="188"/>
      <c r="E185" s="188"/>
      <c r="F185" s="188"/>
      <c r="G185" s="188"/>
      <c r="H185" s="188"/>
      <c r="I185" s="188"/>
      <c r="J185" s="188"/>
      <c r="K185" s="188"/>
      <c r="L185" s="188"/>
      <c r="M185" s="188"/>
      <c r="N185" s="188"/>
      <c r="O185" s="188"/>
      <c r="P185" s="188"/>
      <c r="Q185" s="188"/>
      <c r="R185" s="188"/>
      <c r="S185" s="188"/>
      <c r="T185" s="188"/>
      <c r="U185" s="189"/>
    </row>
    <row r="186" spans="2:21" x14ac:dyDescent="0.35">
      <c r="B186" s="186"/>
      <c r="C186" s="163"/>
      <c r="D186" s="188"/>
      <c r="E186" s="188"/>
      <c r="F186" s="188"/>
      <c r="G186" s="188"/>
      <c r="H186" s="188"/>
      <c r="I186" s="188"/>
      <c r="J186" s="188"/>
      <c r="K186" s="188"/>
      <c r="L186" s="188"/>
      <c r="M186" s="188"/>
      <c r="N186" s="188"/>
      <c r="O186" s="188"/>
      <c r="P186" s="188"/>
      <c r="Q186" s="188"/>
      <c r="R186" s="188"/>
      <c r="S186" s="188"/>
      <c r="T186" s="188"/>
      <c r="U186" s="189"/>
    </row>
    <row r="187" spans="2:21" x14ac:dyDescent="0.35">
      <c r="B187" s="186"/>
      <c r="C187" s="163"/>
      <c r="D187" s="188"/>
      <c r="E187" s="188"/>
      <c r="F187" s="188"/>
      <c r="G187" s="188"/>
      <c r="H187" s="188"/>
      <c r="I187" s="188"/>
      <c r="J187" s="188"/>
      <c r="K187" s="188"/>
      <c r="L187" s="188"/>
      <c r="M187" s="188"/>
      <c r="N187" s="188"/>
      <c r="O187" s="188"/>
      <c r="P187" s="188"/>
      <c r="Q187" s="188"/>
      <c r="R187" s="188"/>
      <c r="S187" s="188"/>
      <c r="T187" s="188"/>
      <c r="U187" s="189"/>
    </row>
    <row r="188" spans="2:21" x14ac:dyDescent="0.35">
      <c r="B188" s="186"/>
      <c r="C188" s="163"/>
      <c r="D188" s="188"/>
      <c r="E188" s="188"/>
      <c r="F188" s="188"/>
      <c r="G188" s="188"/>
      <c r="H188" s="188"/>
      <c r="I188" s="188"/>
      <c r="J188" s="188"/>
      <c r="K188" s="188"/>
      <c r="L188" s="188"/>
      <c r="M188" s="188"/>
      <c r="N188" s="188"/>
      <c r="O188" s="188"/>
      <c r="P188" s="188"/>
      <c r="Q188" s="188"/>
      <c r="R188" s="188"/>
      <c r="S188" s="188"/>
      <c r="T188" s="188"/>
      <c r="U188" s="189"/>
    </row>
    <row r="189" spans="2:21" x14ac:dyDescent="0.35">
      <c r="B189" s="186"/>
      <c r="C189" s="163"/>
      <c r="D189" s="188"/>
      <c r="E189" s="188"/>
      <c r="F189" s="188"/>
      <c r="G189" s="188"/>
      <c r="H189" s="188"/>
      <c r="I189" s="188"/>
      <c r="J189" s="188"/>
      <c r="K189" s="188"/>
      <c r="L189" s="188"/>
      <c r="M189" s="188"/>
      <c r="N189" s="188"/>
      <c r="O189" s="188"/>
      <c r="P189" s="188"/>
      <c r="Q189" s="188"/>
      <c r="R189" s="188"/>
      <c r="S189" s="188"/>
      <c r="T189" s="188"/>
      <c r="U189" s="189"/>
    </row>
    <row r="190" spans="2:21" x14ac:dyDescent="0.35">
      <c r="B190" s="186"/>
      <c r="C190" s="163"/>
      <c r="D190" s="188"/>
      <c r="E190" s="188"/>
      <c r="F190" s="188"/>
      <c r="G190" s="188"/>
      <c r="H190" s="188"/>
      <c r="I190" s="188"/>
      <c r="J190" s="188"/>
      <c r="K190" s="188"/>
      <c r="L190" s="188"/>
      <c r="M190" s="188"/>
      <c r="N190" s="188"/>
      <c r="O190" s="188"/>
      <c r="P190" s="188"/>
      <c r="Q190" s="188"/>
      <c r="R190" s="188"/>
      <c r="S190" s="188"/>
      <c r="T190" s="188"/>
      <c r="U190" s="189"/>
    </row>
    <row r="191" spans="2:21" x14ac:dyDescent="0.35">
      <c r="B191" s="186"/>
      <c r="C191" s="163"/>
      <c r="D191" s="188"/>
      <c r="E191" s="188"/>
      <c r="F191" s="188"/>
      <c r="G191" s="188"/>
      <c r="H191" s="188"/>
      <c r="I191" s="188"/>
      <c r="J191" s="188"/>
      <c r="K191" s="188"/>
      <c r="L191" s="188"/>
      <c r="M191" s="188"/>
      <c r="N191" s="188"/>
      <c r="O191" s="188"/>
      <c r="P191" s="188"/>
      <c r="Q191" s="188"/>
      <c r="R191" s="188"/>
      <c r="S191" s="188"/>
      <c r="T191" s="188"/>
      <c r="U191" s="189"/>
    </row>
    <row r="192" spans="2:21" x14ac:dyDescent="0.35">
      <c r="B192" s="186"/>
      <c r="C192" s="163"/>
      <c r="D192" s="188"/>
      <c r="E192" s="188"/>
      <c r="F192" s="188"/>
      <c r="G192" s="188"/>
      <c r="H192" s="188"/>
      <c r="I192" s="188"/>
      <c r="J192" s="188"/>
      <c r="K192" s="188"/>
      <c r="L192" s="188"/>
      <c r="M192" s="188"/>
      <c r="N192" s="188"/>
      <c r="O192" s="188"/>
      <c r="P192" s="188"/>
      <c r="Q192" s="188"/>
      <c r="R192" s="188"/>
      <c r="S192" s="188"/>
      <c r="T192" s="188"/>
      <c r="U192" s="189"/>
    </row>
    <row r="193" spans="2:21" x14ac:dyDescent="0.35">
      <c r="B193" s="186"/>
      <c r="C193" s="163"/>
      <c r="D193" s="188"/>
      <c r="E193" s="188"/>
      <c r="F193" s="188"/>
      <c r="G193" s="188"/>
      <c r="H193" s="188"/>
      <c r="I193" s="188"/>
      <c r="J193" s="188"/>
      <c r="K193" s="188"/>
      <c r="L193" s="188"/>
      <c r="M193" s="188"/>
      <c r="N193" s="188"/>
      <c r="O193" s="188"/>
      <c r="P193" s="188"/>
      <c r="Q193" s="188"/>
      <c r="R193" s="188"/>
      <c r="S193" s="188"/>
      <c r="T193" s="188"/>
      <c r="U193" s="189"/>
    </row>
    <row r="194" spans="2:21" x14ac:dyDescent="0.35">
      <c r="B194" s="186"/>
      <c r="C194" s="163"/>
      <c r="D194" s="188"/>
      <c r="E194" s="188"/>
      <c r="F194" s="188"/>
      <c r="G194" s="188"/>
      <c r="H194" s="188"/>
      <c r="I194" s="188"/>
      <c r="J194" s="188"/>
      <c r="K194" s="188"/>
      <c r="L194" s="188"/>
      <c r="M194" s="188"/>
      <c r="N194" s="188"/>
      <c r="O194" s="188"/>
      <c r="P194" s="188"/>
      <c r="Q194" s="188"/>
      <c r="R194" s="188"/>
      <c r="S194" s="188"/>
      <c r="T194" s="188"/>
      <c r="U194" s="189"/>
    </row>
    <row r="195" spans="2:21" x14ac:dyDescent="0.35">
      <c r="B195" s="186"/>
      <c r="C195" s="163"/>
      <c r="D195" s="188"/>
      <c r="E195" s="188"/>
      <c r="F195" s="188"/>
      <c r="G195" s="188"/>
      <c r="H195" s="188"/>
      <c r="I195" s="188"/>
      <c r="J195" s="188"/>
      <c r="K195" s="188"/>
      <c r="L195" s="188"/>
      <c r="M195" s="188"/>
      <c r="N195" s="188"/>
      <c r="O195" s="188"/>
      <c r="P195" s="188"/>
      <c r="Q195" s="188"/>
      <c r="R195" s="188"/>
      <c r="S195" s="188"/>
      <c r="T195" s="188"/>
      <c r="U195" s="189"/>
    </row>
    <row r="196" spans="2:21" x14ac:dyDescent="0.35">
      <c r="B196" s="186"/>
      <c r="C196" s="163"/>
      <c r="D196" s="188"/>
      <c r="E196" s="188"/>
      <c r="F196" s="188"/>
      <c r="G196" s="188"/>
      <c r="H196" s="188"/>
      <c r="I196" s="188"/>
      <c r="J196" s="188"/>
      <c r="K196" s="188"/>
      <c r="L196" s="188"/>
      <c r="M196" s="188"/>
      <c r="N196" s="188"/>
      <c r="O196" s="188"/>
      <c r="P196" s="188"/>
      <c r="Q196" s="188"/>
      <c r="R196" s="188"/>
      <c r="S196" s="188"/>
      <c r="T196" s="188"/>
      <c r="U196" s="189"/>
    </row>
    <row r="197" spans="2:21" x14ac:dyDescent="0.35">
      <c r="B197" s="186"/>
      <c r="C197" s="163"/>
      <c r="D197" s="188"/>
      <c r="E197" s="188"/>
      <c r="F197" s="188"/>
      <c r="G197" s="188"/>
      <c r="H197" s="188"/>
      <c r="I197" s="188"/>
      <c r="J197" s="188"/>
      <c r="K197" s="188"/>
      <c r="L197" s="188"/>
      <c r="M197" s="188"/>
      <c r="N197" s="188"/>
      <c r="O197" s="188"/>
      <c r="P197" s="188"/>
      <c r="Q197" s="188"/>
      <c r="R197" s="188"/>
      <c r="S197" s="188"/>
      <c r="T197" s="188"/>
      <c r="U197" s="189"/>
    </row>
    <row r="198" spans="2:21" x14ac:dyDescent="0.35">
      <c r="B198" s="186"/>
      <c r="C198" s="163"/>
      <c r="D198" s="188"/>
      <c r="E198" s="188"/>
      <c r="F198" s="188"/>
      <c r="G198" s="188"/>
      <c r="H198" s="188"/>
      <c r="I198" s="188"/>
      <c r="J198" s="188"/>
      <c r="K198" s="188"/>
      <c r="L198" s="188"/>
      <c r="M198" s="188"/>
      <c r="N198" s="188"/>
      <c r="O198" s="188"/>
      <c r="P198" s="188"/>
      <c r="Q198" s="188"/>
      <c r="R198" s="188"/>
      <c r="S198" s="188"/>
      <c r="T198" s="188"/>
      <c r="U198" s="189"/>
    </row>
    <row r="199" spans="2:21" x14ac:dyDescent="0.35">
      <c r="B199" s="186"/>
      <c r="C199" s="163"/>
      <c r="D199" s="188"/>
      <c r="E199" s="188"/>
      <c r="F199" s="188"/>
      <c r="G199" s="188"/>
      <c r="H199" s="188"/>
      <c r="I199" s="188"/>
      <c r="J199" s="188"/>
      <c r="K199" s="188"/>
      <c r="L199" s="188"/>
      <c r="M199" s="188"/>
      <c r="N199" s="188"/>
      <c r="O199" s="188"/>
      <c r="P199" s="188"/>
      <c r="Q199" s="188"/>
      <c r="R199" s="188"/>
      <c r="S199" s="188"/>
      <c r="T199" s="188"/>
      <c r="U199" s="189"/>
    </row>
    <row r="200" spans="2:21" x14ac:dyDescent="0.35">
      <c r="B200" s="186"/>
      <c r="C200" s="163"/>
      <c r="D200" s="188"/>
      <c r="E200" s="188"/>
      <c r="F200" s="188"/>
      <c r="G200" s="188"/>
      <c r="H200" s="188"/>
      <c r="I200" s="188"/>
      <c r="J200" s="188"/>
      <c r="K200" s="188"/>
      <c r="L200" s="188"/>
      <c r="M200" s="188"/>
      <c r="N200" s="188"/>
      <c r="O200" s="188"/>
      <c r="P200" s="188"/>
      <c r="Q200" s="188"/>
      <c r="R200" s="188"/>
      <c r="S200" s="188"/>
      <c r="T200" s="188"/>
      <c r="U200" s="189"/>
    </row>
    <row r="201" spans="2:21" x14ac:dyDescent="0.35">
      <c r="B201" s="186"/>
      <c r="C201" s="163"/>
      <c r="D201" s="188"/>
      <c r="E201" s="188"/>
      <c r="F201" s="188"/>
      <c r="G201" s="188"/>
      <c r="H201" s="188"/>
      <c r="I201" s="188"/>
      <c r="J201" s="188"/>
      <c r="K201" s="188"/>
      <c r="L201" s="188"/>
      <c r="M201" s="188"/>
      <c r="N201" s="188"/>
      <c r="O201" s="188"/>
      <c r="P201" s="188"/>
      <c r="Q201" s="188"/>
      <c r="R201" s="188"/>
      <c r="S201" s="188"/>
      <c r="T201" s="188"/>
      <c r="U201" s="189"/>
    </row>
    <row r="202" spans="2:21" x14ac:dyDescent="0.35">
      <c r="B202" s="186"/>
      <c r="C202" s="163"/>
      <c r="D202" s="188"/>
      <c r="E202" s="188"/>
      <c r="F202" s="188"/>
      <c r="G202" s="188"/>
      <c r="H202" s="188"/>
      <c r="I202" s="188"/>
      <c r="J202" s="188"/>
      <c r="K202" s="188"/>
      <c r="L202" s="188"/>
      <c r="M202" s="188"/>
      <c r="N202" s="188"/>
      <c r="O202" s="188"/>
      <c r="P202" s="188"/>
      <c r="Q202" s="188"/>
      <c r="R202" s="188"/>
      <c r="S202" s="188"/>
      <c r="T202" s="188"/>
      <c r="U202" s="189"/>
    </row>
    <row r="203" spans="2:21" x14ac:dyDescent="0.35">
      <c r="B203" s="186"/>
      <c r="C203" s="163"/>
      <c r="D203" s="188"/>
      <c r="E203" s="188"/>
      <c r="F203" s="188"/>
      <c r="G203" s="188"/>
      <c r="H203" s="188"/>
      <c r="I203" s="188"/>
      <c r="J203" s="188"/>
      <c r="K203" s="188"/>
      <c r="L203" s="188"/>
      <c r="M203" s="188"/>
      <c r="N203" s="188"/>
      <c r="O203" s="188"/>
      <c r="P203" s="188"/>
      <c r="Q203" s="188"/>
      <c r="R203" s="188"/>
      <c r="S203" s="188"/>
      <c r="T203" s="188"/>
      <c r="U203" s="189"/>
    </row>
    <row r="204" spans="2:21" x14ac:dyDescent="0.35">
      <c r="B204" s="186"/>
      <c r="C204" s="163"/>
      <c r="D204" s="188"/>
      <c r="E204" s="188"/>
      <c r="F204" s="188"/>
      <c r="G204" s="188"/>
      <c r="H204" s="188"/>
      <c r="I204" s="188"/>
      <c r="J204" s="188"/>
      <c r="K204" s="188"/>
      <c r="L204" s="188"/>
      <c r="M204" s="188"/>
      <c r="N204" s="188"/>
      <c r="O204" s="188"/>
      <c r="P204" s="188"/>
      <c r="Q204" s="188"/>
      <c r="R204" s="188"/>
      <c r="S204" s="188"/>
      <c r="T204" s="188"/>
      <c r="U204" s="189"/>
    </row>
    <row r="205" spans="2:21" x14ac:dyDescent="0.35">
      <c r="B205" s="186"/>
      <c r="C205" s="163"/>
      <c r="D205" s="188"/>
      <c r="E205" s="188"/>
      <c r="F205" s="188"/>
      <c r="G205" s="188"/>
      <c r="H205" s="188"/>
      <c r="I205" s="188"/>
      <c r="J205" s="188"/>
      <c r="K205" s="188"/>
      <c r="L205" s="188"/>
      <c r="M205" s="188"/>
      <c r="N205" s="188"/>
      <c r="O205" s="188"/>
      <c r="P205" s="188"/>
      <c r="Q205" s="188"/>
      <c r="R205" s="188"/>
      <c r="S205" s="188"/>
      <c r="T205" s="188"/>
      <c r="U205" s="189"/>
    </row>
    <row r="206" spans="2:21" x14ac:dyDescent="0.35">
      <c r="B206" s="186"/>
      <c r="C206" s="163"/>
      <c r="D206" s="188"/>
      <c r="E206" s="188"/>
      <c r="F206" s="188"/>
      <c r="G206" s="188"/>
      <c r="H206" s="188"/>
      <c r="I206" s="188"/>
      <c r="J206" s="188"/>
      <c r="K206" s="188"/>
      <c r="L206" s="188"/>
      <c r="M206" s="188"/>
      <c r="N206" s="188"/>
      <c r="O206" s="188"/>
      <c r="P206" s="188"/>
      <c r="Q206" s="188"/>
      <c r="R206" s="188"/>
      <c r="S206" s="188"/>
      <c r="T206" s="188"/>
      <c r="U206" s="189"/>
    </row>
    <row r="207" spans="2:21" x14ac:dyDescent="0.35">
      <c r="B207" s="186"/>
      <c r="C207" s="163"/>
      <c r="D207" s="188"/>
      <c r="E207" s="188"/>
      <c r="F207" s="188"/>
      <c r="G207" s="188"/>
      <c r="H207" s="188"/>
      <c r="I207" s="188"/>
      <c r="J207" s="188"/>
      <c r="K207" s="188"/>
      <c r="L207" s="188"/>
      <c r="M207" s="188"/>
      <c r="N207" s="188"/>
      <c r="O207" s="188"/>
      <c r="P207" s="188"/>
      <c r="Q207" s="188"/>
      <c r="R207" s="188"/>
      <c r="S207" s="188"/>
      <c r="T207" s="188"/>
      <c r="U207" s="189"/>
    </row>
    <row r="208" spans="2:21" x14ac:dyDescent="0.35">
      <c r="B208" s="186"/>
      <c r="C208" s="163"/>
      <c r="D208" s="188"/>
      <c r="E208" s="188"/>
      <c r="F208" s="188"/>
      <c r="G208" s="188"/>
      <c r="H208" s="188"/>
      <c r="I208" s="188"/>
      <c r="J208" s="188"/>
      <c r="K208" s="188"/>
      <c r="L208" s="188"/>
      <c r="M208" s="188"/>
      <c r="N208" s="188"/>
      <c r="O208" s="188"/>
      <c r="P208" s="188"/>
      <c r="Q208" s="188"/>
      <c r="R208" s="188"/>
      <c r="S208" s="188"/>
      <c r="T208" s="188"/>
      <c r="U208" s="189"/>
    </row>
    <row r="209" spans="2:21" x14ac:dyDescent="0.35">
      <c r="B209" s="186"/>
      <c r="C209" s="163"/>
      <c r="D209" s="188"/>
      <c r="E209" s="188"/>
      <c r="F209" s="188"/>
      <c r="G209" s="188"/>
      <c r="H209" s="188"/>
      <c r="I209" s="188"/>
      <c r="J209" s="188"/>
      <c r="K209" s="188"/>
      <c r="L209" s="188"/>
      <c r="M209" s="188"/>
      <c r="N209" s="188"/>
      <c r="O209" s="188"/>
      <c r="P209" s="188"/>
      <c r="Q209" s="188"/>
      <c r="R209" s="188"/>
      <c r="S209" s="188"/>
      <c r="T209" s="188"/>
      <c r="U209" s="189"/>
    </row>
    <row r="210" spans="2:21" x14ac:dyDescent="0.35">
      <c r="B210" s="186"/>
      <c r="C210" s="163"/>
      <c r="D210" s="188"/>
      <c r="E210" s="188"/>
      <c r="F210" s="188"/>
      <c r="G210" s="188"/>
      <c r="H210" s="188"/>
      <c r="I210" s="188"/>
      <c r="J210" s="188"/>
      <c r="K210" s="188"/>
      <c r="L210" s="188"/>
      <c r="M210" s="188"/>
      <c r="N210" s="188"/>
      <c r="O210" s="188"/>
      <c r="P210" s="188"/>
      <c r="Q210" s="188"/>
      <c r="R210" s="188"/>
      <c r="S210" s="188"/>
      <c r="T210" s="188"/>
      <c r="U210" s="189"/>
    </row>
    <row r="211" spans="2:21" x14ac:dyDescent="0.35">
      <c r="B211" s="186"/>
      <c r="C211" s="163"/>
      <c r="D211" s="188"/>
      <c r="E211" s="188"/>
      <c r="F211" s="188"/>
      <c r="G211" s="188"/>
      <c r="H211" s="188"/>
      <c r="I211" s="188"/>
      <c r="J211" s="188"/>
      <c r="K211" s="188"/>
      <c r="L211" s="188"/>
      <c r="M211" s="188"/>
      <c r="N211" s="188"/>
      <c r="O211" s="188"/>
      <c r="P211" s="188"/>
      <c r="Q211" s="188"/>
      <c r="R211" s="188"/>
      <c r="S211" s="188"/>
      <c r="T211" s="188"/>
      <c r="U211" s="189"/>
    </row>
    <row r="212" spans="2:21" x14ac:dyDescent="0.35">
      <c r="B212" s="186"/>
      <c r="C212" s="163"/>
      <c r="D212" s="188"/>
      <c r="E212" s="188"/>
      <c r="F212" s="188"/>
      <c r="G212" s="188"/>
      <c r="H212" s="188"/>
      <c r="I212" s="188"/>
      <c r="J212" s="188"/>
      <c r="K212" s="188"/>
      <c r="L212" s="188"/>
      <c r="M212" s="188"/>
      <c r="N212" s="188"/>
      <c r="O212" s="188"/>
      <c r="P212" s="188"/>
      <c r="Q212" s="188"/>
      <c r="R212" s="188"/>
      <c r="S212" s="188"/>
      <c r="T212" s="188"/>
      <c r="U212" s="189"/>
    </row>
    <row r="213" spans="2:21" x14ac:dyDescent="0.35">
      <c r="B213" s="186"/>
      <c r="C213" s="163"/>
      <c r="D213" s="188"/>
      <c r="E213" s="188"/>
      <c r="F213" s="188"/>
      <c r="G213" s="188"/>
      <c r="H213" s="188"/>
      <c r="I213" s="188"/>
      <c r="J213" s="188"/>
      <c r="K213" s="188"/>
      <c r="L213" s="188"/>
      <c r="M213" s="188"/>
      <c r="N213" s="188"/>
      <c r="O213" s="188"/>
      <c r="P213" s="188"/>
      <c r="Q213" s="188"/>
      <c r="R213" s="188"/>
      <c r="S213" s="188"/>
      <c r="T213" s="188"/>
      <c r="U213" s="189"/>
    </row>
    <row r="214" spans="2:21" x14ac:dyDescent="0.35">
      <c r="B214" s="186"/>
      <c r="C214" s="163"/>
      <c r="D214" s="188"/>
      <c r="E214" s="188"/>
      <c r="F214" s="188"/>
      <c r="G214" s="188"/>
      <c r="H214" s="188"/>
      <c r="I214" s="188"/>
      <c r="J214" s="188"/>
      <c r="K214" s="188"/>
      <c r="L214" s="188"/>
      <c r="M214" s="188"/>
      <c r="N214" s="188"/>
      <c r="O214" s="188"/>
      <c r="P214" s="188"/>
      <c r="Q214" s="188"/>
      <c r="R214" s="188"/>
      <c r="S214" s="188"/>
      <c r="T214" s="188"/>
      <c r="U214" s="189"/>
    </row>
    <row r="215" spans="2:21" x14ac:dyDescent="0.35">
      <c r="B215" s="186"/>
      <c r="C215" s="163"/>
      <c r="D215" s="188"/>
      <c r="E215" s="188"/>
      <c r="F215" s="188"/>
      <c r="G215" s="188"/>
      <c r="H215" s="188"/>
      <c r="I215" s="188"/>
      <c r="J215" s="188"/>
      <c r="K215" s="188"/>
      <c r="L215" s="188"/>
      <c r="M215" s="188"/>
      <c r="N215" s="188"/>
      <c r="O215" s="188"/>
      <c r="P215" s="188"/>
      <c r="Q215" s="188"/>
      <c r="R215" s="188"/>
      <c r="S215" s="188"/>
      <c r="T215" s="188"/>
      <c r="U215" s="189"/>
    </row>
    <row r="216" spans="2:21" x14ac:dyDescent="0.35">
      <c r="B216" s="186"/>
      <c r="C216" s="163"/>
      <c r="D216" s="188"/>
      <c r="E216" s="188"/>
      <c r="F216" s="188"/>
      <c r="G216" s="188"/>
      <c r="H216" s="188"/>
      <c r="I216" s="188"/>
      <c r="J216" s="188"/>
      <c r="K216" s="188"/>
      <c r="L216" s="188"/>
      <c r="M216" s="188"/>
      <c r="N216" s="188"/>
      <c r="O216" s="188"/>
      <c r="P216" s="188"/>
      <c r="Q216" s="188"/>
      <c r="R216" s="188"/>
      <c r="S216" s="188"/>
      <c r="T216" s="188"/>
      <c r="U216" s="189"/>
    </row>
    <row r="217" spans="2:21" x14ac:dyDescent="0.35">
      <c r="B217" s="186"/>
      <c r="C217" s="163"/>
      <c r="D217" s="188"/>
      <c r="E217" s="188"/>
      <c r="F217" s="188"/>
      <c r="G217" s="188"/>
      <c r="H217" s="188"/>
      <c r="I217" s="188"/>
      <c r="J217" s="188"/>
      <c r="K217" s="188"/>
      <c r="L217" s="188"/>
      <c r="M217" s="188"/>
      <c r="N217" s="188"/>
      <c r="O217" s="188"/>
      <c r="P217" s="188"/>
      <c r="Q217" s="188"/>
      <c r="R217" s="188"/>
      <c r="S217" s="188"/>
      <c r="T217" s="188"/>
      <c r="U217" s="189"/>
    </row>
    <row r="218" spans="2:21" x14ac:dyDescent="0.35">
      <c r="B218" s="186"/>
      <c r="C218" s="163"/>
      <c r="D218" s="188"/>
      <c r="E218" s="188"/>
      <c r="F218" s="188"/>
      <c r="G218" s="188"/>
      <c r="H218" s="188"/>
      <c r="I218" s="188"/>
      <c r="J218" s="188"/>
      <c r="K218" s="188"/>
      <c r="L218" s="188"/>
      <c r="M218" s="188"/>
      <c r="N218" s="188"/>
      <c r="O218" s="188"/>
      <c r="P218" s="188"/>
      <c r="Q218" s="188"/>
      <c r="R218" s="188"/>
      <c r="S218" s="188"/>
      <c r="T218" s="188"/>
      <c r="U218" s="189"/>
    </row>
    <row r="219" spans="2:21" x14ac:dyDescent="0.35">
      <c r="B219" s="186"/>
      <c r="C219" s="163"/>
      <c r="D219" s="188"/>
      <c r="E219" s="188"/>
      <c r="F219" s="188"/>
      <c r="G219" s="188"/>
      <c r="H219" s="188"/>
      <c r="I219" s="188"/>
      <c r="J219" s="188"/>
      <c r="K219" s="188"/>
      <c r="L219" s="188"/>
      <c r="M219" s="188"/>
      <c r="N219" s="188"/>
      <c r="O219" s="188"/>
      <c r="P219" s="188"/>
      <c r="Q219" s="188"/>
      <c r="R219" s="188"/>
      <c r="S219" s="188"/>
      <c r="T219" s="188"/>
      <c r="U219" s="189"/>
    </row>
    <row r="220" spans="2:21" x14ac:dyDescent="0.35">
      <c r="B220" s="186"/>
      <c r="C220" s="163"/>
      <c r="D220" s="188"/>
      <c r="E220" s="188"/>
      <c r="F220" s="188"/>
      <c r="G220" s="188"/>
      <c r="H220" s="188"/>
      <c r="I220" s="188"/>
      <c r="J220" s="188"/>
      <c r="K220" s="188"/>
      <c r="L220" s="188"/>
      <c r="M220" s="188"/>
      <c r="N220" s="188"/>
      <c r="O220" s="188"/>
      <c r="P220" s="188"/>
      <c r="Q220" s="188"/>
      <c r="R220" s="188"/>
      <c r="S220" s="188"/>
      <c r="T220" s="188"/>
      <c r="U220" s="189"/>
    </row>
    <row r="221" spans="2:21" x14ac:dyDescent="0.35">
      <c r="B221" s="186"/>
      <c r="C221" s="163"/>
      <c r="D221" s="188"/>
      <c r="E221" s="188"/>
      <c r="F221" s="188"/>
      <c r="G221" s="188"/>
      <c r="H221" s="188"/>
      <c r="I221" s="188"/>
      <c r="J221" s="188"/>
      <c r="K221" s="188"/>
      <c r="L221" s="188"/>
      <c r="M221" s="188"/>
      <c r="N221" s="188"/>
      <c r="O221" s="188"/>
      <c r="P221" s="188"/>
      <c r="Q221" s="188"/>
      <c r="R221" s="188"/>
      <c r="S221" s="188"/>
      <c r="T221" s="188"/>
      <c r="U221" s="189"/>
    </row>
    <row r="222" spans="2:21" x14ac:dyDescent="0.35">
      <c r="B222" s="186"/>
      <c r="C222" s="163"/>
      <c r="D222" s="188"/>
      <c r="E222" s="188"/>
      <c r="F222" s="188"/>
      <c r="G222" s="188"/>
      <c r="H222" s="188"/>
      <c r="I222" s="188"/>
      <c r="J222" s="188"/>
      <c r="K222" s="188"/>
      <c r="L222" s="188"/>
      <c r="M222" s="188"/>
      <c r="N222" s="188"/>
      <c r="O222" s="188"/>
      <c r="P222" s="188"/>
      <c r="Q222" s="188"/>
      <c r="R222" s="188"/>
      <c r="S222" s="188"/>
      <c r="T222" s="188"/>
      <c r="U222" s="189"/>
    </row>
    <row r="223" spans="2:21" x14ac:dyDescent="0.35">
      <c r="B223" s="186"/>
      <c r="C223" s="163"/>
      <c r="D223" s="188"/>
      <c r="E223" s="188"/>
      <c r="F223" s="188"/>
      <c r="G223" s="188"/>
      <c r="H223" s="188"/>
      <c r="I223" s="188"/>
      <c r="J223" s="188"/>
      <c r="K223" s="188"/>
      <c r="L223" s="188"/>
      <c r="M223" s="188"/>
      <c r="N223" s="188"/>
      <c r="O223" s="188"/>
      <c r="P223" s="188"/>
      <c r="Q223" s="188"/>
      <c r="R223" s="188"/>
      <c r="S223" s="188"/>
      <c r="T223" s="188"/>
      <c r="U223" s="189"/>
    </row>
    <row r="224" spans="2:21" x14ac:dyDescent="0.35">
      <c r="B224" s="186"/>
      <c r="C224" s="163"/>
      <c r="D224" s="188"/>
      <c r="E224" s="188"/>
      <c r="F224" s="188"/>
      <c r="G224" s="188"/>
      <c r="H224" s="188"/>
      <c r="I224" s="188"/>
      <c r="J224" s="188"/>
      <c r="K224" s="188"/>
      <c r="L224" s="188"/>
      <c r="M224" s="188"/>
      <c r="N224" s="188"/>
      <c r="O224" s="188"/>
      <c r="P224" s="188"/>
      <c r="Q224" s="188"/>
      <c r="R224" s="188"/>
      <c r="S224" s="188"/>
      <c r="T224" s="188"/>
      <c r="U224" s="189"/>
    </row>
    <row r="225" spans="2:21" x14ac:dyDescent="0.35">
      <c r="B225" s="186"/>
      <c r="C225" s="163"/>
      <c r="D225" s="188"/>
      <c r="E225" s="188"/>
      <c r="F225" s="188"/>
      <c r="G225" s="188"/>
      <c r="H225" s="188"/>
      <c r="I225" s="188"/>
      <c r="J225" s="188"/>
      <c r="K225" s="188"/>
      <c r="L225" s="188"/>
      <c r="M225" s="188"/>
      <c r="N225" s="188"/>
      <c r="O225" s="188"/>
      <c r="P225" s="188"/>
      <c r="Q225" s="188"/>
      <c r="R225" s="188"/>
      <c r="S225" s="188"/>
      <c r="T225" s="188"/>
      <c r="U225" s="189"/>
    </row>
    <row r="226" spans="2:21" x14ac:dyDescent="0.35">
      <c r="B226" s="186"/>
      <c r="C226" s="163"/>
      <c r="D226" s="188"/>
      <c r="E226" s="188"/>
      <c r="F226" s="188"/>
      <c r="G226" s="188"/>
      <c r="H226" s="188"/>
      <c r="I226" s="188"/>
      <c r="J226" s="188"/>
      <c r="K226" s="188"/>
      <c r="L226" s="188"/>
      <c r="M226" s="188"/>
      <c r="N226" s="188"/>
      <c r="O226" s="188"/>
      <c r="P226" s="188"/>
      <c r="Q226" s="188"/>
      <c r="R226" s="188"/>
      <c r="S226" s="188"/>
      <c r="T226" s="188"/>
      <c r="U226" s="189"/>
    </row>
    <row r="227" spans="2:21" x14ac:dyDescent="0.35">
      <c r="B227" s="186"/>
      <c r="C227" s="163"/>
      <c r="D227" s="188"/>
      <c r="E227" s="188"/>
      <c r="F227" s="188"/>
      <c r="G227" s="188"/>
      <c r="H227" s="188"/>
      <c r="I227" s="188"/>
      <c r="J227" s="188"/>
      <c r="K227" s="188"/>
      <c r="L227" s="188"/>
      <c r="M227" s="188"/>
      <c r="N227" s="188"/>
      <c r="O227" s="188"/>
      <c r="P227" s="188"/>
      <c r="Q227" s="188"/>
      <c r="R227" s="188"/>
      <c r="S227" s="188"/>
      <c r="T227" s="188"/>
      <c r="U227" s="189"/>
    </row>
    <row r="228" spans="2:21" x14ac:dyDescent="0.35">
      <c r="B228" s="186"/>
      <c r="C228" s="163"/>
      <c r="D228" s="188"/>
      <c r="E228" s="188"/>
      <c r="F228" s="188"/>
      <c r="G228" s="188"/>
      <c r="H228" s="188"/>
      <c r="I228" s="188"/>
      <c r="J228" s="188"/>
      <c r="K228" s="188"/>
      <c r="L228" s="188"/>
      <c r="M228" s="188"/>
      <c r="N228" s="188"/>
      <c r="O228" s="188"/>
      <c r="P228" s="188"/>
      <c r="Q228" s="188"/>
      <c r="R228" s="188"/>
      <c r="S228" s="188"/>
      <c r="T228" s="188"/>
      <c r="U228" s="189"/>
    </row>
    <row r="229" spans="2:21" x14ac:dyDescent="0.35">
      <c r="B229" s="186"/>
      <c r="C229" s="163"/>
      <c r="D229" s="188"/>
      <c r="E229" s="188"/>
      <c r="F229" s="188"/>
      <c r="G229" s="188"/>
      <c r="H229" s="188"/>
      <c r="I229" s="188"/>
      <c r="J229" s="188"/>
      <c r="K229" s="188"/>
      <c r="L229" s="188"/>
      <c r="M229" s="188"/>
      <c r="N229" s="188"/>
      <c r="O229" s="188"/>
      <c r="P229" s="188"/>
      <c r="Q229" s="188"/>
      <c r="R229" s="188"/>
      <c r="S229" s="188"/>
      <c r="T229" s="188"/>
      <c r="U229" s="189"/>
    </row>
    <row r="230" spans="2:21" x14ac:dyDescent="0.35">
      <c r="B230" s="186"/>
      <c r="C230" s="163"/>
      <c r="D230" s="188"/>
      <c r="E230" s="188"/>
      <c r="F230" s="188"/>
      <c r="G230" s="188"/>
      <c r="H230" s="188"/>
      <c r="I230" s="188"/>
      <c r="J230" s="188"/>
      <c r="K230" s="188"/>
      <c r="L230" s="188"/>
      <c r="M230" s="188"/>
      <c r="N230" s="188"/>
      <c r="O230" s="188"/>
      <c r="P230" s="188"/>
      <c r="Q230" s="188"/>
      <c r="R230" s="188"/>
      <c r="S230" s="188"/>
      <c r="T230" s="188"/>
      <c r="U230" s="189"/>
    </row>
    <row r="231" spans="2:21" x14ac:dyDescent="0.35">
      <c r="B231" s="186"/>
      <c r="C231" s="163"/>
      <c r="D231" s="188"/>
      <c r="E231" s="188"/>
      <c r="F231" s="188"/>
      <c r="G231" s="188"/>
      <c r="H231" s="188"/>
      <c r="I231" s="188"/>
      <c r="J231" s="188"/>
      <c r="K231" s="188"/>
      <c r="L231" s="188"/>
      <c r="M231" s="188"/>
      <c r="N231" s="188"/>
      <c r="O231" s="188"/>
      <c r="P231" s="188"/>
      <c r="Q231" s="188"/>
      <c r="R231" s="188"/>
      <c r="S231" s="188"/>
      <c r="T231" s="188"/>
      <c r="U231" s="189"/>
    </row>
    <row r="232" spans="2:21" x14ac:dyDescent="0.35">
      <c r="B232" s="186"/>
      <c r="C232" s="163"/>
      <c r="D232" s="188"/>
      <c r="E232" s="188"/>
      <c r="F232" s="188"/>
      <c r="G232" s="188"/>
      <c r="H232" s="188"/>
      <c r="I232" s="188"/>
      <c r="J232" s="188"/>
      <c r="K232" s="188"/>
      <c r="L232" s="188"/>
      <c r="M232" s="188"/>
      <c r="N232" s="188"/>
      <c r="O232" s="188"/>
      <c r="P232" s="188"/>
      <c r="Q232" s="188"/>
      <c r="R232" s="188"/>
      <c r="S232" s="188"/>
      <c r="T232" s="188"/>
      <c r="U232" s="189"/>
    </row>
    <row r="233" spans="2:21" x14ac:dyDescent="0.35">
      <c r="B233" s="186"/>
      <c r="C233" s="163"/>
      <c r="D233" s="188"/>
      <c r="E233" s="188"/>
      <c r="F233" s="188"/>
      <c r="G233" s="188"/>
      <c r="H233" s="188"/>
      <c r="I233" s="188"/>
      <c r="J233" s="188"/>
      <c r="K233" s="188"/>
      <c r="L233" s="188"/>
      <c r="M233" s="188"/>
      <c r="N233" s="188"/>
      <c r="O233" s="188"/>
      <c r="P233" s="188"/>
      <c r="Q233" s="188"/>
      <c r="R233" s="188"/>
      <c r="S233" s="188"/>
      <c r="T233" s="188"/>
      <c r="U233" s="189"/>
    </row>
    <row r="234" spans="2:21" x14ac:dyDescent="0.35">
      <c r="B234" s="186"/>
      <c r="C234" s="163"/>
      <c r="D234" s="188"/>
      <c r="E234" s="188"/>
      <c r="F234" s="188"/>
      <c r="G234" s="188"/>
      <c r="H234" s="188"/>
      <c r="I234" s="188"/>
      <c r="J234" s="188"/>
      <c r="K234" s="188"/>
      <c r="L234" s="188"/>
      <c r="M234" s="188"/>
      <c r="N234" s="188"/>
      <c r="O234" s="188"/>
      <c r="P234" s="188"/>
      <c r="Q234" s="188"/>
      <c r="R234" s="188"/>
      <c r="S234" s="188"/>
      <c r="T234" s="188"/>
      <c r="U234" s="189"/>
    </row>
    <row r="235" spans="2:21" x14ac:dyDescent="0.35">
      <c r="B235" s="186"/>
      <c r="C235" s="163"/>
      <c r="D235" s="188"/>
      <c r="E235" s="188"/>
      <c r="F235" s="188"/>
      <c r="G235" s="188"/>
      <c r="H235" s="188"/>
      <c r="I235" s="188"/>
      <c r="J235" s="188"/>
      <c r="K235" s="188"/>
      <c r="L235" s="188"/>
      <c r="M235" s="188"/>
      <c r="N235" s="188"/>
      <c r="O235" s="188"/>
      <c r="P235" s="188"/>
      <c r="Q235" s="188"/>
      <c r="R235" s="188"/>
      <c r="S235" s="188"/>
      <c r="T235" s="188"/>
      <c r="U235" s="189"/>
    </row>
    <row r="236" spans="2:21" x14ac:dyDescent="0.35">
      <c r="B236" s="186"/>
      <c r="C236" s="163"/>
      <c r="D236" s="188"/>
      <c r="E236" s="188"/>
      <c r="F236" s="188"/>
      <c r="G236" s="188"/>
      <c r="H236" s="188"/>
      <c r="I236" s="188"/>
      <c r="J236" s="188"/>
      <c r="K236" s="188"/>
      <c r="L236" s="188"/>
      <c r="M236" s="188"/>
      <c r="N236" s="188"/>
      <c r="O236" s="188"/>
      <c r="P236" s="188"/>
      <c r="Q236" s="188"/>
      <c r="R236" s="188"/>
      <c r="S236" s="188"/>
      <c r="T236" s="188"/>
      <c r="U236" s="189"/>
    </row>
    <row r="237" spans="2:21" x14ac:dyDescent="0.35">
      <c r="B237" s="186"/>
      <c r="C237" s="163"/>
      <c r="D237" s="188"/>
      <c r="E237" s="188"/>
      <c r="F237" s="188"/>
      <c r="G237" s="188"/>
      <c r="H237" s="188"/>
      <c r="I237" s="188"/>
      <c r="J237" s="188"/>
      <c r="K237" s="188"/>
      <c r="L237" s="188"/>
      <c r="M237" s="188"/>
      <c r="N237" s="188"/>
      <c r="O237" s="188"/>
      <c r="P237" s="188"/>
      <c r="Q237" s="188"/>
      <c r="R237" s="188"/>
      <c r="S237" s="188"/>
      <c r="T237" s="188"/>
      <c r="U237" s="189"/>
    </row>
    <row r="238" spans="2:21" x14ac:dyDescent="0.35">
      <c r="B238" s="186"/>
      <c r="C238" s="163"/>
      <c r="D238" s="188"/>
      <c r="E238" s="188"/>
      <c r="F238" s="188"/>
      <c r="G238" s="188"/>
      <c r="H238" s="188"/>
      <c r="I238" s="188"/>
      <c r="J238" s="188"/>
      <c r="K238" s="188"/>
      <c r="L238" s="188"/>
      <c r="M238" s="188"/>
      <c r="N238" s="188"/>
      <c r="O238" s="188"/>
      <c r="P238" s="188"/>
      <c r="Q238" s="188"/>
      <c r="R238" s="188"/>
      <c r="S238" s="188"/>
      <c r="T238" s="188"/>
      <c r="U238" s="189"/>
    </row>
    <row r="239" spans="2:21" x14ac:dyDescent="0.35">
      <c r="B239" s="186"/>
      <c r="C239" s="163"/>
      <c r="D239" s="188"/>
      <c r="E239" s="188"/>
      <c r="F239" s="188"/>
      <c r="G239" s="188"/>
      <c r="H239" s="188"/>
      <c r="I239" s="188"/>
      <c r="J239" s="188"/>
      <c r="K239" s="188"/>
      <c r="L239" s="188"/>
      <c r="M239" s="188"/>
      <c r="N239" s="188"/>
      <c r="O239" s="188"/>
      <c r="P239" s="188"/>
      <c r="Q239" s="188"/>
      <c r="R239" s="188"/>
      <c r="S239" s="188"/>
      <c r="T239" s="188"/>
      <c r="U239" s="189"/>
    </row>
    <row r="240" spans="2:21" x14ac:dyDescent="0.35">
      <c r="B240" s="186"/>
      <c r="C240" s="163"/>
      <c r="D240" s="188"/>
      <c r="E240" s="188"/>
      <c r="F240" s="188"/>
      <c r="G240" s="188"/>
      <c r="H240" s="188"/>
      <c r="I240" s="188"/>
      <c r="J240" s="188"/>
      <c r="K240" s="188"/>
      <c r="L240" s="188"/>
      <c r="M240" s="188"/>
      <c r="N240" s="188"/>
      <c r="O240" s="188"/>
      <c r="P240" s="188"/>
      <c r="Q240" s="188"/>
      <c r="R240" s="188"/>
      <c r="S240" s="188"/>
      <c r="T240" s="188"/>
      <c r="U240" s="189"/>
    </row>
    <row r="241" spans="2:21" x14ac:dyDescent="0.35">
      <c r="B241" s="186"/>
      <c r="C241" s="163"/>
      <c r="D241" s="188"/>
      <c r="E241" s="188"/>
      <c r="F241" s="188"/>
      <c r="G241" s="188"/>
      <c r="H241" s="188"/>
      <c r="I241" s="188"/>
      <c r="J241" s="188"/>
      <c r="K241" s="188"/>
      <c r="L241" s="188"/>
      <c r="M241" s="188"/>
      <c r="N241" s="188"/>
      <c r="O241" s="188"/>
      <c r="P241" s="188"/>
      <c r="Q241" s="188"/>
      <c r="R241" s="188"/>
      <c r="S241" s="188"/>
      <c r="T241" s="188"/>
      <c r="U241" s="189"/>
    </row>
    <row r="242" spans="2:21" x14ac:dyDescent="0.35">
      <c r="B242" s="186"/>
      <c r="C242" s="163"/>
      <c r="D242" s="188"/>
      <c r="E242" s="188"/>
      <c r="F242" s="188"/>
      <c r="G242" s="188"/>
      <c r="H242" s="188"/>
      <c r="I242" s="188"/>
      <c r="J242" s="188"/>
      <c r="K242" s="188"/>
      <c r="L242" s="188"/>
      <c r="M242" s="188"/>
      <c r="N242" s="188"/>
      <c r="O242" s="188"/>
      <c r="P242" s="188"/>
      <c r="Q242" s="188"/>
      <c r="R242" s="188"/>
      <c r="S242" s="188"/>
      <c r="T242" s="188"/>
      <c r="U242" s="189"/>
    </row>
    <row r="243" spans="2:21" x14ac:dyDescent="0.35">
      <c r="B243" s="186"/>
      <c r="C243" s="163"/>
      <c r="D243" s="188"/>
      <c r="E243" s="188"/>
      <c r="F243" s="188"/>
      <c r="G243" s="188"/>
      <c r="H243" s="188"/>
      <c r="I243" s="188"/>
      <c r="J243" s="188"/>
      <c r="K243" s="188"/>
      <c r="L243" s="188"/>
      <c r="M243" s="188"/>
      <c r="N243" s="188"/>
      <c r="O243" s="188"/>
      <c r="P243" s="188"/>
      <c r="Q243" s="188"/>
      <c r="R243" s="188"/>
      <c r="S243" s="188"/>
      <c r="T243" s="188"/>
      <c r="U243" s="189"/>
    </row>
    <row r="244" spans="2:21" x14ac:dyDescent="0.35">
      <c r="B244" s="186"/>
      <c r="C244" s="163"/>
      <c r="D244" s="188"/>
      <c r="E244" s="188"/>
      <c r="F244" s="188"/>
      <c r="G244" s="188"/>
      <c r="H244" s="188"/>
      <c r="I244" s="188"/>
      <c r="J244" s="188"/>
      <c r="K244" s="188"/>
      <c r="L244" s="188"/>
      <c r="M244" s="188"/>
      <c r="N244" s="188"/>
      <c r="O244" s="188"/>
      <c r="P244" s="188"/>
      <c r="Q244" s="188"/>
      <c r="R244" s="188"/>
      <c r="S244" s="188"/>
      <c r="T244" s="188"/>
      <c r="U244" s="189"/>
    </row>
    <row r="245" spans="2:21" x14ac:dyDescent="0.35">
      <c r="B245" s="186"/>
      <c r="C245" s="163"/>
      <c r="D245" s="188"/>
      <c r="E245" s="188"/>
      <c r="F245" s="188"/>
      <c r="G245" s="188"/>
      <c r="H245" s="188"/>
      <c r="I245" s="188"/>
      <c r="J245" s="188"/>
      <c r="K245" s="188"/>
      <c r="L245" s="188"/>
      <c r="M245" s="188"/>
      <c r="N245" s="188"/>
      <c r="O245" s="188"/>
      <c r="P245" s="188"/>
      <c r="Q245" s="188"/>
      <c r="R245" s="188"/>
      <c r="S245" s="188"/>
      <c r="T245" s="188"/>
      <c r="U245" s="189"/>
    </row>
    <row r="246" spans="2:21" x14ac:dyDescent="0.35">
      <c r="B246" s="186"/>
      <c r="C246" s="163"/>
      <c r="D246" s="188"/>
      <c r="E246" s="188"/>
      <c r="F246" s="188"/>
      <c r="G246" s="188"/>
      <c r="H246" s="188"/>
      <c r="I246" s="188"/>
      <c r="J246" s="188"/>
      <c r="K246" s="188"/>
      <c r="L246" s="188"/>
      <c r="M246" s="188"/>
      <c r="N246" s="188"/>
      <c r="O246" s="188"/>
      <c r="P246" s="188"/>
      <c r="Q246" s="188"/>
      <c r="R246" s="188"/>
      <c r="S246" s="188"/>
      <c r="T246" s="188"/>
      <c r="U246" s="189"/>
    </row>
    <row r="247" spans="2:21" x14ac:dyDescent="0.35">
      <c r="B247" s="186"/>
      <c r="C247" s="163"/>
      <c r="D247" s="188"/>
      <c r="E247" s="188"/>
      <c r="F247" s="188"/>
      <c r="G247" s="188"/>
      <c r="H247" s="188"/>
      <c r="I247" s="188"/>
      <c r="J247" s="188"/>
      <c r="K247" s="188"/>
      <c r="L247" s="188"/>
      <c r="M247" s="188"/>
      <c r="N247" s="188"/>
      <c r="O247" s="188"/>
      <c r="P247" s="188"/>
      <c r="Q247" s="188"/>
      <c r="R247" s="188"/>
      <c r="S247" s="188"/>
      <c r="T247" s="188"/>
      <c r="U247" s="189"/>
    </row>
    <row r="248" spans="2:21" x14ac:dyDescent="0.35">
      <c r="B248" s="186"/>
      <c r="C248" s="163"/>
      <c r="D248" s="188"/>
      <c r="E248" s="188"/>
      <c r="F248" s="188"/>
      <c r="G248" s="188"/>
      <c r="H248" s="188"/>
      <c r="I248" s="188"/>
      <c r="J248" s="188"/>
      <c r="K248" s="188"/>
      <c r="L248" s="188"/>
      <c r="M248" s="188"/>
      <c r="N248" s="188"/>
      <c r="O248" s="188"/>
      <c r="P248" s="188"/>
      <c r="Q248" s="188"/>
      <c r="R248" s="188"/>
      <c r="S248" s="188"/>
      <c r="T248" s="188"/>
      <c r="U248" s="189"/>
    </row>
    <row r="249" spans="2:21" x14ac:dyDescent="0.35">
      <c r="B249" s="186"/>
      <c r="C249" s="163"/>
      <c r="D249" s="188"/>
      <c r="E249" s="188"/>
      <c r="F249" s="188"/>
      <c r="G249" s="188"/>
      <c r="H249" s="188"/>
      <c r="I249" s="188"/>
      <c r="J249" s="188"/>
      <c r="K249" s="188"/>
      <c r="L249" s="188"/>
      <c r="M249" s="188"/>
      <c r="N249" s="188"/>
      <c r="O249" s="188"/>
      <c r="P249" s="188"/>
      <c r="Q249" s="188"/>
      <c r="R249" s="188"/>
      <c r="S249" s="188"/>
      <c r="T249" s="188"/>
      <c r="U249" s="189"/>
    </row>
    <row r="250" spans="2:21" x14ac:dyDescent="0.35">
      <c r="B250" s="186"/>
      <c r="C250" s="163"/>
      <c r="D250" s="188"/>
      <c r="E250" s="188"/>
      <c r="F250" s="188"/>
      <c r="G250" s="188"/>
      <c r="H250" s="188"/>
      <c r="I250" s="188"/>
      <c r="J250" s="188"/>
      <c r="K250" s="188"/>
      <c r="L250" s="188"/>
      <c r="M250" s="188"/>
      <c r="N250" s="188"/>
      <c r="O250" s="188"/>
      <c r="P250" s="188"/>
      <c r="Q250" s="188"/>
      <c r="R250" s="188"/>
      <c r="S250" s="188"/>
      <c r="T250" s="188"/>
      <c r="U250" s="189"/>
    </row>
    <row r="251" spans="2:21" x14ac:dyDescent="0.35">
      <c r="B251" s="186"/>
      <c r="C251" s="163"/>
      <c r="D251" s="188"/>
      <c r="E251" s="188"/>
      <c r="F251" s="188"/>
      <c r="G251" s="188"/>
      <c r="H251" s="188"/>
      <c r="I251" s="188"/>
      <c r="J251" s="188"/>
      <c r="K251" s="188"/>
      <c r="L251" s="188"/>
      <c r="M251" s="188"/>
      <c r="N251" s="188"/>
      <c r="O251" s="188"/>
      <c r="P251" s="188"/>
      <c r="Q251" s="188"/>
      <c r="R251" s="188"/>
      <c r="S251" s="188"/>
      <c r="T251" s="188"/>
      <c r="U251" s="189"/>
    </row>
    <row r="252" spans="2:21" x14ac:dyDescent="0.35">
      <c r="B252" s="186"/>
      <c r="C252" s="163"/>
      <c r="D252" s="188"/>
      <c r="E252" s="188"/>
      <c r="F252" s="188"/>
      <c r="G252" s="188"/>
      <c r="H252" s="188"/>
      <c r="I252" s="188"/>
      <c r="J252" s="188"/>
      <c r="K252" s="188"/>
      <c r="L252" s="188"/>
      <c r="M252" s="188"/>
      <c r="N252" s="188"/>
      <c r="O252" s="188"/>
      <c r="P252" s="188"/>
      <c r="Q252" s="188"/>
      <c r="R252" s="188"/>
      <c r="S252" s="188"/>
      <c r="T252" s="188"/>
      <c r="U252" s="189"/>
    </row>
    <row r="253" spans="2:21" x14ac:dyDescent="0.35">
      <c r="B253" s="186"/>
      <c r="C253" s="163"/>
      <c r="D253" s="188"/>
      <c r="E253" s="188"/>
      <c r="F253" s="188"/>
      <c r="G253" s="188"/>
      <c r="H253" s="188"/>
      <c r="I253" s="188"/>
      <c r="J253" s="188"/>
      <c r="K253" s="188"/>
      <c r="L253" s="188"/>
      <c r="M253" s="188"/>
      <c r="N253" s="188"/>
      <c r="O253" s="188"/>
      <c r="P253" s="188"/>
      <c r="Q253" s="188"/>
      <c r="R253" s="188"/>
      <c r="S253" s="188"/>
      <c r="T253" s="188"/>
      <c r="U253" s="189"/>
    </row>
    <row r="254" spans="2:21" x14ac:dyDescent="0.35">
      <c r="B254" s="186"/>
      <c r="C254" s="163"/>
      <c r="D254" s="188"/>
      <c r="E254" s="188"/>
      <c r="F254" s="188"/>
      <c r="G254" s="188"/>
      <c r="H254" s="188"/>
      <c r="I254" s="188"/>
      <c r="J254" s="188"/>
      <c r="K254" s="188"/>
      <c r="L254" s="188"/>
      <c r="M254" s="188"/>
      <c r="N254" s="188"/>
      <c r="O254" s="188"/>
      <c r="P254" s="188"/>
      <c r="Q254" s="188"/>
      <c r="R254" s="188"/>
      <c r="S254" s="188"/>
      <c r="T254" s="188"/>
      <c r="U254" s="189"/>
    </row>
    <row r="255" spans="2:21" x14ac:dyDescent="0.35">
      <c r="B255" s="186"/>
      <c r="C255" s="163"/>
      <c r="D255" s="188"/>
      <c r="E255" s="188"/>
      <c r="F255" s="188"/>
      <c r="G255" s="188"/>
      <c r="H255" s="188"/>
      <c r="I255" s="188"/>
      <c r="J255" s="188"/>
      <c r="K255" s="188"/>
      <c r="L255" s="188"/>
      <c r="M255" s="188"/>
      <c r="N255" s="188"/>
      <c r="O255" s="188"/>
      <c r="P255" s="188"/>
      <c r="Q255" s="188"/>
      <c r="R255" s="188"/>
      <c r="S255" s="188"/>
      <c r="T255" s="188"/>
      <c r="U255" s="189"/>
    </row>
    <row r="256" spans="2:21" x14ac:dyDescent="0.35">
      <c r="B256" s="186"/>
      <c r="C256" s="163"/>
      <c r="D256" s="188"/>
      <c r="E256" s="188"/>
      <c r="F256" s="188"/>
      <c r="G256" s="188"/>
      <c r="H256" s="188"/>
      <c r="I256" s="188"/>
      <c r="J256" s="188"/>
      <c r="K256" s="188"/>
      <c r="L256" s="188"/>
      <c r="M256" s="188"/>
      <c r="N256" s="188"/>
      <c r="O256" s="188"/>
      <c r="P256" s="188"/>
      <c r="Q256" s="188"/>
      <c r="R256" s="188"/>
      <c r="S256" s="188"/>
      <c r="T256" s="188"/>
      <c r="U256" s="189"/>
    </row>
    <row r="257" spans="2:21" x14ac:dyDescent="0.35">
      <c r="B257" s="186"/>
      <c r="C257" s="163"/>
      <c r="D257" s="188"/>
      <c r="E257" s="188"/>
      <c r="F257" s="188"/>
      <c r="G257" s="188"/>
      <c r="H257" s="188"/>
      <c r="I257" s="188"/>
      <c r="J257" s="188"/>
      <c r="K257" s="188"/>
      <c r="L257" s="188"/>
      <c r="M257" s="188"/>
      <c r="N257" s="188"/>
      <c r="O257" s="188"/>
      <c r="P257" s="188"/>
      <c r="Q257" s="188"/>
      <c r="R257" s="188"/>
      <c r="S257" s="188"/>
      <c r="T257" s="188"/>
      <c r="U257" s="189"/>
    </row>
    <row r="258" spans="2:21" x14ac:dyDescent="0.35">
      <c r="B258" s="186"/>
      <c r="C258" s="163"/>
      <c r="D258" s="188"/>
      <c r="E258" s="188"/>
      <c r="F258" s="188"/>
      <c r="G258" s="188"/>
      <c r="H258" s="188"/>
      <c r="I258" s="188"/>
      <c r="J258" s="188"/>
      <c r="K258" s="188"/>
      <c r="L258" s="188"/>
      <c r="M258" s="188"/>
      <c r="N258" s="188"/>
      <c r="O258" s="188"/>
      <c r="P258" s="188"/>
      <c r="Q258" s="188"/>
      <c r="R258" s="188"/>
      <c r="S258" s="188"/>
      <c r="T258" s="188"/>
      <c r="U258" s="189"/>
    </row>
    <row r="259" spans="2:21" x14ac:dyDescent="0.35">
      <c r="B259" s="186"/>
      <c r="C259" s="163"/>
      <c r="D259" s="188"/>
      <c r="E259" s="188"/>
      <c r="F259" s="188"/>
      <c r="G259" s="188"/>
      <c r="H259" s="188"/>
      <c r="I259" s="188"/>
      <c r="J259" s="188"/>
      <c r="K259" s="188"/>
      <c r="L259" s="188"/>
      <c r="M259" s="188"/>
      <c r="N259" s="188"/>
      <c r="O259" s="188"/>
      <c r="P259" s="188"/>
      <c r="Q259" s="188"/>
      <c r="R259" s="188"/>
      <c r="S259" s="188"/>
      <c r="T259" s="188"/>
      <c r="U259" s="189"/>
    </row>
    <row r="260" spans="2:21" x14ac:dyDescent="0.35">
      <c r="B260" s="186"/>
      <c r="C260" s="163"/>
      <c r="D260" s="188"/>
      <c r="E260" s="188"/>
      <c r="F260" s="188"/>
      <c r="G260" s="188"/>
      <c r="H260" s="188"/>
      <c r="I260" s="188"/>
      <c r="J260" s="188"/>
      <c r="K260" s="188"/>
      <c r="L260" s="188"/>
      <c r="M260" s="188"/>
      <c r="N260" s="188"/>
      <c r="O260" s="188"/>
      <c r="P260" s="188"/>
      <c r="Q260" s="188"/>
      <c r="R260" s="188"/>
      <c r="S260" s="188"/>
      <c r="T260" s="188"/>
      <c r="U260" s="189"/>
    </row>
    <row r="261" spans="2:21" x14ac:dyDescent="0.35">
      <c r="B261" s="186"/>
      <c r="C261" s="163"/>
      <c r="D261" s="188"/>
      <c r="E261" s="188"/>
      <c r="F261" s="188"/>
      <c r="G261" s="188"/>
      <c r="H261" s="188"/>
      <c r="I261" s="188"/>
      <c r="J261" s="188"/>
      <c r="K261" s="188"/>
      <c r="L261" s="188"/>
      <c r="M261" s="188"/>
      <c r="N261" s="188"/>
      <c r="O261" s="188"/>
      <c r="P261" s="188"/>
      <c r="Q261" s="188"/>
      <c r="R261" s="188"/>
      <c r="S261" s="188"/>
      <c r="T261" s="188"/>
      <c r="U261" s="189"/>
    </row>
    <row r="262" spans="2:21" x14ac:dyDescent="0.35">
      <c r="B262" s="186"/>
      <c r="C262" s="163"/>
      <c r="D262" s="188"/>
      <c r="E262" s="188"/>
      <c r="F262" s="188"/>
      <c r="G262" s="188"/>
      <c r="H262" s="188"/>
      <c r="I262" s="188"/>
      <c r="J262" s="188"/>
      <c r="K262" s="188"/>
      <c r="L262" s="188"/>
      <c r="M262" s="188"/>
      <c r="N262" s="188"/>
      <c r="O262" s="188"/>
      <c r="P262" s="188"/>
      <c r="Q262" s="188"/>
      <c r="R262" s="188"/>
      <c r="S262" s="188"/>
      <c r="T262" s="188"/>
      <c r="U262" s="189"/>
    </row>
    <row r="263" spans="2:21" x14ac:dyDescent="0.35">
      <c r="B263" s="186"/>
      <c r="C263" s="163"/>
      <c r="D263" s="188"/>
      <c r="E263" s="188"/>
      <c r="F263" s="188"/>
      <c r="G263" s="188"/>
      <c r="H263" s="188"/>
      <c r="I263" s="188"/>
      <c r="J263" s="188"/>
      <c r="K263" s="188"/>
      <c r="L263" s="188"/>
      <c r="M263" s="188"/>
      <c r="N263" s="188"/>
      <c r="O263" s="188"/>
      <c r="P263" s="188"/>
      <c r="Q263" s="188"/>
      <c r="R263" s="188"/>
      <c r="S263" s="188"/>
      <c r="T263" s="188"/>
      <c r="U263" s="189"/>
    </row>
    <row r="264" spans="2:21" x14ac:dyDescent="0.35">
      <c r="B264" s="186"/>
      <c r="C264" s="163"/>
      <c r="D264" s="188"/>
      <c r="E264" s="188"/>
      <c r="F264" s="188"/>
      <c r="G264" s="188"/>
      <c r="H264" s="188"/>
      <c r="I264" s="188"/>
      <c r="J264" s="188"/>
      <c r="K264" s="188"/>
      <c r="L264" s="188"/>
      <c r="M264" s="188"/>
      <c r="N264" s="188"/>
      <c r="O264" s="188"/>
      <c r="P264" s="188"/>
      <c r="Q264" s="188"/>
      <c r="R264" s="188"/>
      <c r="S264" s="188"/>
      <c r="T264" s="188"/>
      <c r="U264" s="189"/>
    </row>
    <row r="265" spans="2:21" x14ac:dyDescent="0.35">
      <c r="B265" s="186"/>
      <c r="C265" s="163"/>
      <c r="D265" s="188"/>
      <c r="E265" s="188"/>
      <c r="F265" s="188"/>
      <c r="G265" s="188"/>
      <c r="H265" s="188"/>
      <c r="I265" s="188"/>
      <c r="J265" s="188"/>
      <c r="K265" s="188"/>
      <c r="L265" s="188"/>
      <c r="M265" s="188"/>
      <c r="N265" s="188"/>
      <c r="O265" s="188"/>
      <c r="P265" s="188"/>
      <c r="Q265" s="188"/>
      <c r="R265" s="188"/>
      <c r="S265" s="188"/>
      <c r="T265" s="188"/>
      <c r="U265" s="189"/>
    </row>
    <row r="266" spans="2:21" x14ac:dyDescent="0.35">
      <c r="B266" s="186"/>
      <c r="C266" s="163"/>
      <c r="D266" s="188"/>
      <c r="E266" s="188"/>
      <c r="F266" s="188"/>
      <c r="G266" s="188"/>
      <c r="H266" s="188"/>
      <c r="I266" s="188"/>
      <c r="J266" s="188"/>
      <c r="K266" s="188"/>
      <c r="L266" s="188"/>
      <c r="M266" s="188"/>
      <c r="N266" s="188"/>
      <c r="O266" s="188"/>
      <c r="P266" s="188"/>
      <c r="Q266" s="188"/>
      <c r="R266" s="188"/>
      <c r="S266" s="188"/>
      <c r="T266" s="188"/>
      <c r="U266" s="189"/>
    </row>
    <row r="267" spans="2:21" x14ac:dyDescent="0.35">
      <c r="B267" s="186"/>
      <c r="C267" s="163"/>
      <c r="D267" s="188"/>
      <c r="E267" s="188"/>
      <c r="F267" s="188"/>
      <c r="G267" s="188"/>
      <c r="H267" s="188"/>
      <c r="I267" s="188"/>
      <c r="J267" s="188"/>
      <c r="K267" s="188"/>
      <c r="L267" s="188"/>
      <c r="M267" s="188"/>
      <c r="N267" s="188"/>
      <c r="O267" s="188"/>
      <c r="P267" s="188"/>
      <c r="Q267" s="188"/>
      <c r="R267" s="188"/>
      <c r="S267" s="188"/>
      <c r="T267" s="188"/>
      <c r="U267" s="189"/>
    </row>
    <row r="268" spans="2:21" x14ac:dyDescent="0.35">
      <c r="B268" s="186"/>
      <c r="C268" s="163"/>
      <c r="D268" s="188"/>
      <c r="E268" s="188"/>
      <c r="F268" s="188"/>
      <c r="G268" s="188"/>
      <c r="H268" s="188"/>
      <c r="I268" s="188"/>
      <c r="J268" s="188"/>
      <c r="K268" s="188"/>
      <c r="L268" s="188"/>
      <c r="M268" s="188"/>
      <c r="N268" s="188"/>
      <c r="O268" s="188"/>
      <c r="P268" s="188"/>
      <c r="Q268" s="188"/>
      <c r="R268" s="188"/>
      <c r="S268" s="188"/>
      <c r="T268" s="188"/>
      <c r="U268" s="189"/>
    </row>
    <row r="269" spans="2:21" x14ac:dyDescent="0.35">
      <c r="B269" s="186"/>
      <c r="C269" s="163"/>
      <c r="D269" s="188"/>
      <c r="E269" s="188"/>
      <c r="F269" s="188"/>
      <c r="G269" s="188"/>
      <c r="H269" s="188"/>
      <c r="I269" s="188"/>
      <c r="J269" s="188"/>
      <c r="K269" s="188"/>
      <c r="L269" s="188"/>
      <c r="M269" s="188"/>
      <c r="N269" s="188"/>
      <c r="O269" s="188"/>
      <c r="P269" s="188"/>
      <c r="Q269" s="188"/>
      <c r="R269" s="188"/>
      <c r="S269" s="188"/>
      <c r="T269" s="188"/>
      <c r="U269" s="189"/>
    </row>
    <row r="270" spans="2:21" x14ac:dyDescent="0.35">
      <c r="B270" s="186"/>
      <c r="C270" s="163"/>
      <c r="D270" s="188"/>
      <c r="E270" s="188"/>
      <c r="F270" s="188"/>
      <c r="G270" s="188"/>
      <c r="H270" s="188"/>
      <c r="I270" s="188"/>
      <c r="J270" s="188"/>
      <c r="K270" s="188"/>
      <c r="L270" s="188"/>
      <c r="M270" s="188"/>
      <c r="N270" s="188"/>
      <c r="O270" s="188"/>
      <c r="P270" s="188"/>
      <c r="Q270" s="188"/>
      <c r="R270" s="188"/>
      <c r="S270" s="188"/>
      <c r="T270" s="188"/>
      <c r="U270" s="189"/>
    </row>
    <row r="271" spans="2:21" x14ac:dyDescent="0.35">
      <c r="B271" s="186"/>
      <c r="C271" s="163"/>
      <c r="D271" s="188"/>
      <c r="E271" s="188"/>
      <c r="F271" s="188"/>
      <c r="G271" s="188"/>
      <c r="H271" s="188"/>
      <c r="I271" s="188"/>
      <c r="J271" s="188"/>
      <c r="K271" s="188"/>
      <c r="L271" s="188"/>
      <c r="M271" s="188"/>
      <c r="N271" s="188"/>
      <c r="O271" s="188"/>
      <c r="P271" s="188"/>
      <c r="Q271" s="188"/>
      <c r="R271" s="188"/>
      <c r="S271" s="188"/>
      <c r="T271" s="188"/>
      <c r="U271" s="189"/>
    </row>
    <row r="272" spans="2:21" x14ac:dyDescent="0.35">
      <c r="B272" s="186"/>
      <c r="C272" s="163"/>
      <c r="D272" s="188"/>
      <c r="E272" s="188"/>
      <c r="F272" s="188"/>
      <c r="G272" s="188"/>
      <c r="H272" s="188"/>
      <c r="I272" s="188"/>
      <c r="J272" s="188"/>
      <c r="K272" s="188"/>
      <c r="L272" s="188"/>
      <c r="M272" s="188"/>
      <c r="N272" s="188"/>
      <c r="O272" s="188"/>
      <c r="P272" s="188"/>
      <c r="Q272" s="188"/>
      <c r="R272" s="188"/>
      <c r="S272" s="188"/>
      <c r="T272" s="188"/>
      <c r="U272" s="189"/>
    </row>
    <row r="273" spans="2:21" x14ac:dyDescent="0.35">
      <c r="B273" s="186"/>
      <c r="C273" s="163"/>
      <c r="D273" s="188"/>
      <c r="E273" s="188"/>
      <c r="F273" s="188"/>
      <c r="G273" s="188"/>
      <c r="H273" s="188"/>
      <c r="I273" s="188"/>
      <c r="J273" s="188"/>
      <c r="K273" s="188"/>
      <c r="L273" s="188"/>
      <c r="M273" s="188"/>
      <c r="N273" s="188"/>
      <c r="O273" s="188"/>
      <c r="P273" s="188"/>
      <c r="Q273" s="188"/>
      <c r="R273" s="188"/>
      <c r="S273" s="188"/>
      <c r="T273" s="188"/>
      <c r="U273" s="189"/>
    </row>
    <row r="274" spans="2:21" x14ac:dyDescent="0.35">
      <c r="B274" s="186"/>
      <c r="C274" s="163"/>
      <c r="D274" s="188"/>
      <c r="E274" s="188"/>
      <c r="F274" s="188"/>
      <c r="G274" s="188"/>
      <c r="H274" s="188"/>
      <c r="I274" s="188"/>
      <c r="J274" s="188"/>
      <c r="K274" s="188"/>
      <c r="L274" s="188"/>
      <c r="M274" s="188"/>
      <c r="N274" s="188"/>
      <c r="O274" s="188"/>
      <c r="P274" s="188"/>
      <c r="Q274" s="188"/>
      <c r="R274" s="188"/>
      <c r="S274" s="188"/>
      <c r="T274" s="188"/>
      <c r="U274" s="189"/>
    </row>
    <row r="275" spans="2:21" x14ac:dyDescent="0.35">
      <c r="B275" s="186"/>
      <c r="C275" s="163"/>
      <c r="D275" s="188"/>
      <c r="E275" s="188"/>
      <c r="F275" s="188"/>
      <c r="G275" s="188"/>
      <c r="H275" s="188"/>
      <c r="I275" s="188"/>
      <c r="J275" s="188"/>
      <c r="K275" s="188"/>
      <c r="L275" s="188"/>
      <c r="M275" s="188"/>
      <c r="N275" s="188"/>
      <c r="O275" s="188"/>
      <c r="P275" s="188"/>
      <c r="Q275" s="188"/>
      <c r="R275" s="188"/>
      <c r="S275" s="188"/>
      <c r="T275" s="188"/>
      <c r="U275" s="189"/>
    </row>
    <row r="276" spans="2:21" x14ac:dyDescent="0.35">
      <c r="B276" s="186"/>
      <c r="C276" s="163"/>
      <c r="D276" s="188"/>
      <c r="E276" s="188"/>
      <c r="F276" s="188"/>
      <c r="G276" s="188"/>
      <c r="H276" s="188"/>
      <c r="I276" s="188"/>
      <c r="J276" s="188"/>
      <c r="K276" s="188"/>
      <c r="L276" s="188"/>
      <c r="M276" s="188"/>
      <c r="N276" s="188"/>
      <c r="O276" s="188"/>
      <c r="P276" s="188"/>
      <c r="Q276" s="188"/>
      <c r="R276" s="188"/>
      <c r="S276" s="188"/>
      <c r="T276" s="188"/>
      <c r="U276" s="189"/>
    </row>
    <row r="277" spans="2:21" x14ac:dyDescent="0.35">
      <c r="B277" s="186"/>
      <c r="C277" s="163"/>
      <c r="D277" s="188"/>
      <c r="E277" s="188"/>
      <c r="F277" s="188"/>
      <c r="G277" s="188"/>
      <c r="H277" s="188"/>
      <c r="I277" s="188"/>
      <c r="J277" s="188"/>
      <c r="K277" s="188"/>
      <c r="L277" s="188"/>
      <c r="M277" s="188"/>
      <c r="N277" s="188"/>
      <c r="O277" s="188"/>
      <c r="P277" s="188"/>
      <c r="Q277" s="188"/>
      <c r="R277" s="188"/>
      <c r="S277" s="188"/>
      <c r="T277" s="188"/>
      <c r="U277" s="189"/>
    </row>
    <row r="278" spans="2:21" x14ac:dyDescent="0.35">
      <c r="B278" s="186"/>
      <c r="C278" s="163"/>
      <c r="D278" s="188"/>
      <c r="E278" s="188"/>
      <c r="F278" s="188"/>
      <c r="G278" s="188"/>
      <c r="H278" s="188"/>
      <c r="I278" s="188"/>
      <c r="J278" s="188"/>
      <c r="K278" s="188"/>
      <c r="L278" s="188"/>
      <c r="M278" s="188"/>
      <c r="N278" s="188"/>
      <c r="O278" s="188"/>
      <c r="P278" s="188"/>
      <c r="Q278" s="188"/>
      <c r="R278" s="188"/>
      <c r="S278" s="188"/>
      <c r="T278" s="188"/>
      <c r="U278" s="189"/>
    </row>
    <row r="279" spans="2:21" x14ac:dyDescent="0.35">
      <c r="B279" s="186"/>
      <c r="C279" s="163"/>
      <c r="D279" s="188"/>
      <c r="E279" s="188"/>
      <c r="F279" s="188"/>
      <c r="G279" s="188"/>
      <c r="H279" s="188"/>
      <c r="I279" s="188"/>
      <c r="J279" s="188"/>
      <c r="K279" s="188"/>
      <c r="L279" s="188"/>
      <c r="M279" s="188"/>
      <c r="N279" s="188"/>
      <c r="O279" s="188"/>
      <c r="P279" s="188"/>
      <c r="Q279" s="188"/>
      <c r="R279" s="188"/>
      <c r="S279" s="188"/>
      <c r="T279" s="188"/>
      <c r="U279" s="189"/>
    </row>
    <row r="280" spans="2:21" x14ac:dyDescent="0.35">
      <c r="B280" s="186"/>
      <c r="C280" s="163"/>
      <c r="D280" s="188"/>
      <c r="E280" s="188"/>
      <c r="F280" s="188"/>
      <c r="G280" s="188"/>
      <c r="H280" s="188"/>
      <c r="I280" s="188"/>
      <c r="J280" s="188"/>
      <c r="K280" s="188"/>
      <c r="L280" s="188"/>
      <c r="M280" s="188"/>
      <c r="N280" s="188"/>
      <c r="O280" s="188"/>
      <c r="P280" s="188"/>
      <c r="Q280" s="188"/>
      <c r="R280" s="188"/>
      <c r="S280" s="188"/>
      <c r="T280" s="188"/>
      <c r="U280" s="189"/>
    </row>
    <row r="281" spans="2:21" x14ac:dyDescent="0.35">
      <c r="B281" s="186"/>
      <c r="C281" s="163"/>
      <c r="D281" s="188"/>
      <c r="E281" s="188"/>
      <c r="F281" s="188"/>
      <c r="G281" s="188"/>
      <c r="H281" s="188"/>
      <c r="I281" s="188"/>
      <c r="J281" s="188"/>
      <c r="K281" s="188"/>
      <c r="L281" s="188"/>
      <c r="M281" s="188"/>
      <c r="N281" s="188"/>
      <c r="O281" s="188"/>
      <c r="P281" s="188"/>
      <c r="Q281" s="188"/>
      <c r="R281" s="188"/>
      <c r="S281" s="188"/>
      <c r="T281" s="188"/>
      <c r="U281" s="189"/>
    </row>
    <row r="282" spans="2:21" x14ac:dyDescent="0.35">
      <c r="B282" s="186"/>
      <c r="C282" s="163"/>
      <c r="D282" s="188"/>
      <c r="E282" s="188"/>
      <c r="F282" s="188"/>
      <c r="G282" s="188"/>
      <c r="H282" s="188"/>
      <c r="I282" s="188"/>
      <c r="J282" s="188"/>
      <c r="K282" s="188"/>
      <c r="L282" s="188"/>
      <c r="M282" s="188"/>
      <c r="N282" s="188"/>
      <c r="O282" s="188"/>
      <c r="P282" s="188"/>
      <c r="Q282" s="188"/>
      <c r="R282" s="188"/>
      <c r="S282" s="188"/>
      <c r="T282" s="188"/>
      <c r="U282" s="189"/>
    </row>
    <row r="283" spans="2:21" x14ac:dyDescent="0.35">
      <c r="B283" s="186"/>
      <c r="C283" s="163"/>
      <c r="D283" s="188"/>
      <c r="E283" s="188"/>
      <c r="F283" s="188"/>
      <c r="G283" s="188"/>
      <c r="H283" s="188"/>
      <c r="I283" s="188"/>
      <c r="J283" s="188"/>
      <c r="K283" s="188"/>
      <c r="L283" s="188"/>
      <c r="M283" s="188"/>
      <c r="N283" s="188"/>
      <c r="O283" s="188"/>
      <c r="P283" s="188"/>
      <c r="Q283" s="188"/>
      <c r="R283" s="188"/>
      <c r="S283" s="188"/>
      <c r="T283" s="188"/>
      <c r="U283" s="189"/>
    </row>
    <row r="284" spans="2:21" x14ac:dyDescent="0.35">
      <c r="B284" s="186"/>
      <c r="C284" s="163"/>
      <c r="D284" s="188"/>
      <c r="E284" s="188"/>
      <c r="F284" s="188"/>
      <c r="G284" s="188"/>
      <c r="H284" s="188"/>
      <c r="I284" s="188"/>
      <c r="J284" s="188"/>
      <c r="K284" s="188"/>
      <c r="L284" s="188"/>
      <c r="M284" s="188"/>
      <c r="N284" s="188"/>
      <c r="O284" s="188"/>
      <c r="P284" s="188"/>
      <c r="Q284" s="188"/>
      <c r="R284" s="188"/>
      <c r="S284" s="188"/>
      <c r="T284" s="188"/>
      <c r="U284" s="189"/>
    </row>
    <row r="285" spans="2:21" x14ac:dyDescent="0.35">
      <c r="B285" s="186"/>
      <c r="C285" s="163"/>
      <c r="D285" s="188"/>
      <c r="E285" s="188"/>
      <c r="F285" s="188"/>
      <c r="G285" s="188"/>
      <c r="H285" s="188"/>
      <c r="I285" s="188"/>
      <c r="J285" s="188"/>
      <c r="K285" s="188"/>
      <c r="L285" s="188"/>
      <c r="M285" s="188"/>
      <c r="N285" s="188"/>
      <c r="O285" s="188"/>
      <c r="P285" s="188"/>
      <c r="Q285" s="188"/>
      <c r="R285" s="188"/>
      <c r="S285" s="188"/>
      <c r="T285" s="188"/>
      <c r="U285" s="189"/>
    </row>
    <row r="286" spans="2:21" x14ac:dyDescent="0.35">
      <c r="B286" s="186"/>
      <c r="C286" s="163"/>
      <c r="D286" s="188"/>
      <c r="E286" s="188"/>
      <c r="F286" s="188"/>
      <c r="G286" s="188"/>
      <c r="H286" s="188"/>
      <c r="I286" s="188"/>
      <c r="J286" s="188"/>
      <c r="K286" s="188"/>
      <c r="L286" s="188"/>
      <c r="M286" s="188"/>
      <c r="N286" s="188"/>
      <c r="O286" s="188"/>
      <c r="P286" s="188"/>
      <c r="Q286" s="188"/>
      <c r="R286" s="188"/>
      <c r="S286" s="188"/>
      <c r="T286" s="188"/>
      <c r="U286" s="189"/>
    </row>
    <row r="287" spans="2:21" x14ac:dyDescent="0.35">
      <c r="B287" s="186"/>
      <c r="C287" s="163"/>
      <c r="D287" s="188"/>
      <c r="E287" s="188"/>
      <c r="F287" s="188"/>
      <c r="G287" s="188"/>
      <c r="H287" s="188"/>
      <c r="I287" s="188"/>
      <c r="J287" s="188"/>
      <c r="K287" s="188"/>
      <c r="L287" s="188"/>
      <c r="M287" s="188"/>
      <c r="N287" s="188"/>
      <c r="O287" s="188"/>
      <c r="P287" s="188"/>
      <c r="Q287" s="188"/>
      <c r="R287" s="188"/>
      <c r="S287" s="188"/>
      <c r="T287" s="188"/>
      <c r="U287" s="189"/>
    </row>
    <row r="288" spans="2:21" x14ac:dyDescent="0.35">
      <c r="B288" s="186"/>
      <c r="C288" s="163"/>
      <c r="D288" s="188"/>
      <c r="E288" s="188"/>
      <c r="F288" s="188"/>
      <c r="G288" s="188"/>
      <c r="H288" s="188"/>
      <c r="I288" s="188"/>
      <c r="J288" s="188"/>
      <c r="K288" s="188"/>
      <c r="L288" s="188"/>
      <c r="M288" s="188"/>
      <c r="N288" s="188"/>
      <c r="O288" s="188"/>
      <c r="P288" s="188"/>
      <c r="Q288" s="188"/>
      <c r="R288" s="188"/>
      <c r="S288" s="188"/>
      <c r="T288" s="188"/>
      <c r="U288" s="189"/>
    </row>
    <row r="289" spans="2:21" x14ac:dyDescent="0.35">
      <c r="B289" s="186"/>
      <c r="C289" s="163"/>
      <c r="D289" s="188"/>
      <c r="E289" s="188"/>
      <c r="F289" s="188"/>
      <c r="G289" s="188"/>
      <c r="H289" s="188"/>
      <c r="I289" s="188"/>
      <c r="J289" s="188"/>
      <c r="K289" s="188"/>
      <c r="L289" s="188"/>
      <c r="M289" s="188"/>
      <c r="N289" s="188"/>
      <c r="O289" s="188"/>
      <c r="P289" s="188"/>
      <c r="Q289" s="188"/>
      <c r="R289" s="188"/>
      <c r="S289" s="188"/>
      <c r="T289" s="188"/>
      <c r="U289" s="189"/>
    </row>
    <row r="290" spans="2:21" x14ac:dyDescent="0.35">
      <c r="B290" s="186"/>
      <c r="C290" s="163"/>
      <c r="D290" s="188"/>
      <c r="E290" s="188"/>
      <c r="F290" s="188"/>
      <c r="G290" s="188"/>
      <c r="H290" s="188"/>
      <c r="I290" s="188"/>
      <c r="J290" s="188"/>
      <c r="K290" s="188"/>
      <c r="L290" s="188"/>
      <c r="M290" s="188"/>
      <c r="N290" s="188"/>
      <c r="O290" s="188"/>
      <c r="P290" s="188"/>
      <c r="Q290" s="188"/>
      <c r="R290" s="188"/>
      <c r="S290" s="188"/>
      <c r="T290" s="188"/>
      <c r="U290" s="189"/>
    </row>
    <row r="291" spans="2:21" x14ac:dyDescent="0.35">
      <c r="B291" s="186"/>
      <c r="C291" s="163"/>
      <c r="D291" s="188"/>
      <c r="E291" s="188"/>
      <c r="F291" s="188"/>
      <c r="G291" s="188"/>
      <c r="H291" s="188"/>
      <c r="I291" s="188"/>
      <c r="J291" s="188"/>
      <c r="K291" s="188"/>
      <c r="L291" s="188"/>
      <c r="M291" s="188"/>
      <c r="N291" s="188"/>
      <c r="O291" s="188"/>
      <c r="P291" s="188"/>
      <c r="Q291" s="188"/>
      <c r="R291" s="188"/>
      <c r="S291" s="188"/>
      <c r="T291" s="188"/>
      <c r="U291" s="189"/>
    </row>
    <row r="292" spans="2:21" x14ac:dyDescent="0.35">
      <c r="B292" s="186"/>
      <c r="C292" s="163"/>
      <c r="D292" s="188"/>
      <c r="E292" s="188"/>
      <c r="F292" s="188"/>
      <c r="G292" s="188"/>
      <c r="H292" s="188"/>
      <c r="I292" s="188"/>
      <c r="J292" s="188"/>
      <c r="K292" s="188"/>
      <c r="L292" s="188"/>
      <c r="M292" s="188"/>
      <c r="N292" s="188"/>
      <c r="O292" s="188"/>
      <c r="P292" s="188"/>
      <c r="Q292" s="188"/>
      <c r="R292" s="188"/>
      <c r="S292" s="188"/>
      <c r="T292" s="188"/>
      <c r="U292" s="189"/>
    </row>
    <row r="293" spans="2:21" x14ac:dyDescent="0.35">
      <c r="B293" s="186"/>
      <c r="C293" s="163"/>
      <c r="D293" s="188"/>
      <c r="E293" s="188"/>
      <c r="F293" s="188"/>
      <c r="G293" s="188"/>
      <c r="H293" s="188"/>
      <c r="I293" s="188"/>
      <c r="J293" s="188"/>
      <c r="K293" s="188"/>
      <c r="L293" s="188"/>
      <c r="M293" s="188"/>
      <c r="N293" s="188"/>
      <c r="O293" s="188"/>
      <c r="P293" s="188"/>
      <c r="Q293" s="188"/>
      <c r="R293" s="188"/>
      <c r="S293" s="188"/>
      <c r="T293" s="188"/>
      <c r="U293" s="189"/>
    </row>
    <row r="294" spans="2:21" x14ac:dyDescent="0.35">
      <c r="B294" s="186"/>
      <c r="C294" s="163"/>
      <c r="D294" s="188"/>
      <c r="E294" s="188"/>
      <c r="F294" s="188"/>
      <c r="G294" s="188"/>
      <c r="H294" s="188"/>
      <c r="I294" s="188"/>
      <c r="J294" s="188"/>
      <c r="K294" s="188"/>
      <c r="L294" s="188"/>
      <c r="M294" s="188"/>
      <c r="N294" s="188"/>
      <c r="O294" s="188"/>
      <c r="P294" s="188"/>
      <c r="Q294" s="188"/>
      <c r="R294" s="188"/>
      <c r="S294" s="188"/>
      <c r="T294" s="188"/>
      <c r="U294" s="189"/>
    </row>
    <row r="295" spans="2:21" x14ac:dyDescent="0.35">
      <c r="B295" s="186"/>
      <c r="C295" s="163"/>
      <c r="D295" s="188"/>
      <c r="E295" s="188"/>
      <c r="F295" s="188"/>
      <c r="G295" s="188"/>
      <c r="H295" s="188"/>
      <c r="I295" s="188"/>
      <c r="J295" s="188"/>
      <c r="K295" s="188"/>
      <c r="L295" s="188"/>
      <c r="M295" s="188"/>
      <c r="N295" s="188"/>
      <c r="O295" s="188"/>
      <c r="P295" s="188"/>
      <c r="Q295" s="188"/>
      <c r="R295" s="188"/>
      <c r="S295" s="188"/>
      <c r="T295" s="188"/>
      <c r="U295" s="189"/>
    </row>
    <row r="296" spans="2:21" x14ac:dyDescent="0.35">
      <c r="B296" s="186"/>
      <c r="C296" s="163"/>
      <c r="D296" s="188"/>
      <c r="E296" s="188"/>
      <c r="F296" s="188"/>
      <c r="G296" s="188"/>
      <c r="H296" s="188"/>
      <c r="I296" s="188"/>
      <c r="J296" s="188"/>
      <c r="K296" s="188"/>
      <c r="L296" s="188"/>
      <c r="M296" s="188"/>
      <c r="N296" s="188"/>
      <c r="O296" s="188"/>
      <c r="P296" s="188"/>
      <c r="Q296" s="188"/>
      <c r="R296" s="188"/>
      <c r="S296" s="188"/>
      <c r="T296" s="188"/>
      <c r="U296" s="189"/>
    </row>
    <row r="297" spans="2:21" x14ac:dyDescent="0.35">
      <c r="B297" s="186"/>
      <c r="C297" s="163"/>
      <c r="D297" s="188"/>
      <c r="E297" s="188"/>
      <c r="F297" s="188"/>
      <c r="G297" s="188"/>
      <c r="H297" s="188"/>
      <c r="I297" s="188"/>
      <c r="J297" s="188"/>
      <c r="K297" s="188"/>
      <c r="L297" s="188"/>
      <c r="M297" s="188"/>
      <c r="N297" s="188"/>
      <c r="O297" s="188"/>
      <c r="P297" s="188"/>
      <c r="Q297" s="188"/>
      <c r="R297" s="188"/>
      <c r="S297" s="188"/>
      <c r="T297" s="188"/>
      <c r="U297" s="189"/>
    </row>
    <row r="298" spans="2:21" x14ac:dyDescent="0.35">
      <c r="B298" s="186"/>
      <c r="C298" s="163"/>
      <c r="D298" s="188"/>
      <c r="E298" s="188"/>
      <c r="F298" s="188"/>
      <c r="G298" s="188"/>
      <c r="H298" s="188"/>
      <c r="I298" s="188"/>
      <c r="J298" s="188"/>
      <c r="K298" s="188"/>
      <c r="L298" s="188"/>
      <c r="M298" s="188"/>
      <c r="N298" s="188"/>
      <c r="O298" s="188"/>
      <c r="P298" s="188"/>
      <c r="Q298" s="188"/>
      <c r="R298" s="188"/>
      <c r="S298" s="188"/>
      <c r="T298" s="188"/>
      <c r="U298" s="189"/>
    </row>
    <row r="299" spans="2:21" x14ac:dyDescent="0.35">
      <c r="B299" s="186"/>
      <c r="C299" s="163"/>
      <c r="D299" s="188"/>
      <c r="E299" s="188"/>
      <c r="F299" s="188"/>
      <c r="G299" s="188"/>
      <c r="H299" s="188"/>
      <c r="I299" s="188"/>
      <c r="J299" s="188"/>
      <c r="K299" s="188"/>
      <c r="L299" s="188"/>
      <c r="M299" s="188"/>
      <c r="N299" s="188"/>
      <c r="O299" s="188"/>
      <c r="P299" s="188"/>
      <c r="Q299" s="188"/>
      <c r="R299" s="188"/>
      <c r="S299" s="188"/>
      <c r="T299" s="188"/>
      <c r="U299" s="189"/>
    </row>
    <row r="300" spans="2:21" x14ac:dyDescent="0.35">
      <c r="B300" s="186"/>
      <c r="C300" s="163"/>
      <c r="D300" s="188"/>
      <c r="E300" s="188"/>
      <c r="F300" s="188"/>
      <c r="G300" s="188"/>
      <c r="H300" s="188"/>
      <c r="I300" s="188"/>
      <c r="J300" s="188"/>
      <c r="K300" s="188"/>
      <c r="L300" s="188"/>
      <c r="M300" s="188"/>
      <c r="N300" s="188"/>
      <c r="O300" s="188"/>
      <c r="P300" s="188"/>
      <c r="Q300" s="188"/>
      <c r="R300" s="188"/>
      <c r="S300" s="188"/>
      <c r="T300" s="188"/>
      <c r="U300" s="189"/>
    </row>
    <row r="301" spans="2:21" x14ac:dyDescent="0.35">
      <c r="B301" s="186"/>
      <c r="C301" s="163"/>
      <c r="D301" s="188"/>
      <c r="E301" s="188"/>
      <c r="F301" s="188"/>
      <c r="G301" s="188"/>
      <c r="H301" s="188"/>
      <c r="I301" s="188"/>
      <c r="J301" s="188"/>
      <c r="K301" s="188"/>
      <c r="L301" s="188"/>
      <c r="M301" s="188"/>
      <c r="N301" s="188"/>
      <c r="O301" s="188"/>
      <c r="P301" s="188"/>
      <c r="Q301" s="188"/>
      <c r="R301" s="188"/>
      <c r="S301" s="188"/>
      <c r="T301" s="188"/>
      <c r="U301" s="189"/>
    </row>
    <row r="302" spans="2:21" x14ac:dyDescent="0.35">
      <c r="B302" s="186"/>
      <c r="C302" s="163"/>
      <c r="D302" s="188"/>
      <c r="E302" s="188"/>
      <c r="F302" s="188"/>
      <c r="G302" s="188"/>
      <c r="H302" s="188"/>
      <c r="I302" s="188"/>
      <c r="J302" s="188"/>
      <c r="K302" s="188"/>
      <c r="L302" s="188"/>
      <c r="M302" s="188"/>
      <c r="N302" s="188"/>
      <c r="O302" s="188"/>
      <c r="P302" s="188"/>
      <c r="Q302" s="188"/>
      <c r="R302" s="188"/>
      <c r="S302" s="188"/>
      <c r="T302" s="188"/>
      <c r="U302" s="189"/>
    </row>
    <row r="303" spans="2:21" x14ac:dyDescent="0.35">
      <c r="B303" s="186"/>
      <c r="C303" s="163"/>
      <c r="D303" s="188"/>
      <c r="E303" s="188"/>
      <c r="F303" s="188"/>
      <c r="G303" s="188"/>
      <c r="H303" s="188"/>
      <c r="I303" s="188"/>
      <c r="J303" s="188"/>
      <c r="K303" s="188"/>
      <c r="L303" s="188"/>
      <c r="M303" s="188"/>
      <c r="N303" s="188"/>
      <c r="O303" s="188"/>
      <c r="P303" s="188"/>
      <c r="Q303" s="188"/>
      <c r="R303" s="188"/>
      <c r="S303" s="188"/>
      <c r="T303" s="188"/>
      <c r="U303" s="189"/>
    </row>
    <row r="304" spans="2:21" x14ac:dyDescent="0.35">
      <c r="B304" s="186"/>
      <c r="C304" s="163"/>
      <c r="D304" s="188"/>
      <c r="E304" s="188"/>
      <c r="F304" s="188"/>
      <c r="G304" s="188"/>
      <c r="H304" s="188"/>
      <c r="I304" s="188"/>
      <c r="J304" s="188"/>
      <c r="K304" s="188"/>
      <c r="L304" s="188"/>
      <c r="M304" s="188"/>
      <c r="N304" s="188"/>
      <c r="O304" s="188"/>
      <c r="P304" s="188"/>
      <c r="Q304" s="188"/>
      <c r="R304" s="188"/>
      <c r="S304" s="188"/>
      <c r="T304" s="188"/>
      <c r="U304" s="189"/>
    </row>
    <row r="305" spans="2:21" x14ac:dyDescent="0.35">
      <c r="B305" s="186"/>
      <c r="C305" s="163"/>
      <c r="D305" s="188"/>
      <c r="E305" s="188"/>
      <c r="F305" s="188"/>
      <c r="G305" s="188"/>
      <c r="H305" s="188"/>
      <c r="I305" s="188"/>
      <c r="J305" s="188"/>
      <c r="K305" s="188"/>
      <c r="L305" s="188"/>
      <c r="M305" s="188"/>
      <c r="N305" s="188"/>
      <c r="O305" s="188"/>
      <c r="P305" s="188"/>
      <c r="Q305" s="188"/>
      <c r="R305" s="188"/>
      <c r="S305" s="188"/>
      <c r="T305" s="188"/>
      <c r="U305" s="189"/>
    </row>
    <row r="306" spans="2:21" x14ac:dyDescent="0.35">
      <c r="B306" s="186"/>
      <c r="C306" s="163"/>
      <c r="D306" s="188"/>
      <c r="E306" s="188"/>
      <c r="F306" s="188"/>
      <c r="G306" s="188"/>
      <c r="H306" s="188"/>
      <c r="I306" s="188"/>
      <c r="J306" s="188"/>
      <c r="K306" s="188"/>
      <c r="L306" s="188"/>
      <c r="M306" s="188"/>
      <c r="N306" s="188"/>
      <c r="O306" s="188"/>
      <c r="P306" s="188"/>
      <c r="Q306" s="188"/>
      <c r="R306" s="188"/>
      <c r="S306" s="188"/>
      <c r="T306" s="188"/>
      <c r="U306" s="189"/>
    </row>
    <row r="307" spans="2:21" x14ac:dyDescent="0.35">
      <c r="B307" s="186"/>
      <c r="C307" s="163"/>
      <c r="D307" s="188"/>
      <c r="E307" s="188"/>
      <c r="F307" s="188"/>
      <c r="G307" s="188"/>
      <c r="H307" s="188"/>
      <c r="I307" s="188"/>
      <c r="J307" s="188"/>
      <c r="K307" s="188"/>
      <c r="L307" s="188"/>
      <c r="M307" s="188"/>
      <c r="N307" s="188"/>
      <c r="O307" s="188"/>
      <c r="P307" s="188"/>
      <c r="Q307" s="188"/>
      <c r="R307" s="188"/>
      <c r="S307" s="188"/>
      <c r="T307" s="188"/>
      <c r="U307" s="189"/>
    </row>
    <row r="308" spans="2:21" x14ac:dyDescent="0.35">
      <c r="B308" s="186"/>
      <c r="C308" s="163"/>
      <c r="D308" s="188"/>
      <c r="E308" s="188"/>
      <c r="F308" s="188"/>
      <c r="G308" s="188"/>
      <c r="H308" s="188"/>
      <c r="I308" s="188"/>
      <c r="J308" s="188"/>
      <c r="K308" s="188"/>
      <c r="L308" s="188"/>
      <c r="M308" s="188"/>
      <c r="N308" s="188"/>
      <c r="O308" s="188"/>
      <c r="P308" s="188"/>
      <c r="Q308" s="188"/>
      <c r="R308" s="188"/>
      <c r="S308" s="188"/>
      <c r="T308" s="188"/>
      <c r="U308" s="189"/>
    </row>
    <row r="309" spans="2:21" x14ac:dyDescent="0.35">
      <c r="B309" s="186"/>
      <c r="C309" s="163"/>
      <c r="D309" s="188"/>
      <c r="E309" s="188"/>
      <c r="F309" s="188"/>
      <c r="G309" s="188"/>
      <c r="H309" s="188"/>
      <c r="I309" s="188"/>
      <c r="J309" s="188"/>
      <c r="K309" s="188"/>
      <c r="L309" s="188"/>
      <c r="M309" s="188"/>
      <c r="N309" s="188"/>
      <c r="O309" s="188"/>
      <c r="P309" s="188"/>
      <c r="Q309" s="188"/>
      <c r="R309" s="188"/>
      <c r="S309" s="188"/>
      <c r="T309" s="188"/>
      <c r="U309" s="189"/>
    </row>
    <row r="310" spans="2:21" x14ac:dyDescent="0.35">
      <c r="B310" s="186"/>
      <c r="C310" s="163"/>
      <c r="D310" s="188"/>
      <c r="E310" s="188"/>
      <c r="F310" s="188"/>
      <c r="G310" s="188"/>
      <c r="H310" s="188"/>
      <c r="I310" s="188"/>
      <c r="J310" s="188"/>
      <c r="K310" s="188"/>
      <c r="L310" s="188"/>
      <c r="M310" s="188"/>
      <c r="N310" s="188"/>
      <c r="O310" s="188"/>
      <c r="P310" s="188"/>
      <c r="Q310" s="188"/>
      <c r="R310" s="188"/>
      <c r="S310" s="188"/>
      <c r="T310" s="188"/>
      <c r="U310" s="189"/>
    </row>
    <row r="311" spans="2:21" x14ac:dyDescent="0.35">
      <c r="B311" s="186"/>
      <c r="C311" s="163"/>
      <c r="D311" s="188"/>
      <c r="E311" s="188"/>
      <c r="F311" s="188"/>
      <c r="G311" s="188"/>
      <c r="H311" s="188"/>
      <c r="I311" s="188"/>
      <c r="J311" s="188"/>
      <c r="K311" s="188"/>
      <c r="L311" s="188"/>
      <c r="M311" s="188"/>
      <c r="N311" s="188"/>
      <c r="O311" s="188"/>
      <c r="P311" s="188"/>
      <c r="Q311" s="188"/>
      <c r="R311" s="188"/>
      <c r="S311" s="188"/>
      <c r="T311" s="188"/>
      <c r="U311" s="189"/>
    </row>
    <row r="312" spans="2:21" x14ac:dyDescent="0.35">
      <c r="B312" s="186"/>
      <c r="C312" s="163"/>
      <c r="D312" s="188"/>
      <c r="E312" s="188"/>
      <c r="F312" s="188"/>
      <c r="G312" s="188"/>
      <c r="H312" s="188"/>
      <c r="I312" s="188"/>
      <c r="J312" s="188"/>
      <c r="K312" s="188"/>
      <c r="L312" s="188"/>
      <c r="M312" s="188"/>
      <c r="N312" s="188"/>
      <c r="O312" s="188"/>
      <c r="P312" s="188"/>
      <c r="Q312" s="188"/>
      <c r="R312" s="188"/>
      <c r="S312" s="188"/>
      <c r="T312" s="188"/>
      <c r="U312" s="189"/>
    </row>
    <row r="313" spans="2:21" x14ac:dyDescent="0.35">
      <c r="B313" s="186"/>
      <c r="C313" s="163"/>
      <c r="D313" s="188"/>
      <c r="E313" s="188"/>
      <c r="F313" s="188"/>
      <c r="G313" s="188"/>
      <c r="H313" s="188"/>
      <c r="I313" s="188"/>
      <c r="J313" s="188"/>
      <c r="K313" s="188"/>
      <c r="L313" s="188"/>
      <c r="M313" s="188"/>
      <c r="N313" s="188"/>
      <c r="O313" s="188"/>
      <c r="P313" s="188"/>
      <c r="Q313" s="188"/>
      <c r="R313" s="188"/>
      <c r="S313" s="188"/>
      <c r="T313" s="188"/>
      <c r="U313" s="189"/>
    </row>
    <row r="314" spans="2:21" x14ac:dyDescent="0.35">
      <c r="B314" s="186"/>
      <c r="C314" s="163"/>
      <c r="D314" s="188"/>
      <c r="E314" s="188"/>
      <c r="F314" s="188"/>
      <c r="G314" s="188"/>
      <c r="H314" s="188"/>
      <c r="I314" s="188"/>
      <c r="J314" s="188"/>
      <c r="K314" s="188"/>
      <c r="L314" s="188"/>
      <c r="M314" s="188"/>
      <c r="N314" s="188"/>
      <c r="O314" s="188"/>
      <c r="P314" s="188"/>
      <c r="Q314" s="188"/>
      <c r="R314" s="188"/>
      <c r="S314" s="188"/>
      <c r="T314" s="188"/>
      <c r="U314" s="189"/>
    </row>
    <row r="315" spans="2:21" x14ac:dyDescent="0.35">
      <c r="B315" s="186"/>
      <c r="C315" s="163"/>
      <c r="D315" s="188"/>
      <c r="E315" s="188"/>
      <c r="F315" s="188"/>
      <c r="G315" s="188"/>
      <c r="H315" s="188"/>
      <c r="I315" s="188"/>
      <c r="J315" s="188"/>
      <c r="K315" s="188"/>
      <c r="L315" s="188"/>
      <c r="M315" s="188"/>
      <c r="N315" s="188"/>
      <c r="O315" s="188"/>
      <c r="P315" s="188"/>
      <c r="Q315" s="188"/>
      <c r="R315" s="188"/>
      <c r="S315" s="188"/>
      <c r="T315" s="188"/>
      <c r="U315" s="189"/>
    </row>
    <row r="316" spans="2:21" x14ac:dyDescent="0.35">
      <c r="B316" s="186"/>
      <c r="C316" s="163"/>
      <c r="D316" s="188"/>
      <c r="E316" s="188"/>
      <c r="F316" s="188"/>
      <c r="G316" s="188"/>
      <c r="H316" s="188"/>
      <c r="I316" s="188"/>
      <c r="J316" s="188"/>
      <c r="K316" s="188"/>
      <c r="L316" s="188"/>
      <c r="M316" s="188"/>
      <c r="N316" s="188"/>
      <c r="O316" s="188"/>
      <c r="P316" s="188"/>
      <c r="Q316" s="188"/>
      <c r="R316" s="188"/>
      <c r="S316" s="188"/>
      <c r="T316" s="188"/>
      <c r="U316" s="189"/>
    </row>
    <row r="317" spans="2:21" x14ac:dyDescent="0.35">
      <c r="B317" s="186"/>
      <c r="C317" s="163"/>
      <c r="D317" s="188"/>
      <c r="E317" s="188"/>
      <c r="F317" s="188"/>
      <c r="G317" s="188"/>
      <c r="H317" s="188"/>
      <c r="I317" s="188"/>
      <c r="J317" s="188"/>
      <c r="K317" s="188"/>
      <c r="L317" s="188"/>
      <c r="M317" s="188"/>
      <c r="N317" s="188"/>
      <c r="O317" s="188"/>
      <c r="P317" s="188"/>
      <c r="Q317" s="188"/>
      <c r="R317" s="188"/>
      <c r="S317" s="188"/>
      <c r="T317" s="188"/>
      <c r="U317" s="189"/>
    </row>
    <row r="318" spans="2:21" x14ac:dyDescent="0.35">
      <c r="B318" s="186"/>
      <c r="C318" s="163"/>
      <c r="D318" s="188"/>
      <c r="E318" s="188"/>
      <c r="F318" s="188"/>
      <c r="G318" s="188"/>
      <c r="H318" s="188"/>
      <c r="I318" s="188"/>
      <c r="J318" s="188"/>
      <c r="K318" s="188"/>
      <c r="L318" s="188"/>
      <c r="M318" s="188"/>
      <c r="N318" s="188"/>
      <c r="O318" s="188"/>
      <c r="P318" s="188"/>
      <c r="Q318" s="188"/>
      <c r="R318" s="188"/>
      <c r="S318" s="188"/>
      <c r="T318" s="188"/>
      <c r="U318" s="189"/>
    </row>
    <row r="319" spans="2:21" x14ac:dyDescent="0.35">
      <c r="B319" s="186"/>
      <c r="C319" s="163"/>
      <c r="D319" s="188"/>
      <c r="E319" s="188"/>
      <c r="F319" s="188"/>
      <c r="G319" s="188"/>
      <c r="H319" s="188"/>
      <c r="I319" s="188"/>
      <c r="J319" s="188"/>
      <c r="K319" s="188"/>
      <c r="L319" s="188"/>
      <c r="M319" s="188"/>
      <c r="N319" s="188"/>
      <c r="O319" s="188"/>
      <c r="P319" s="188"/>
      <c r="Q319" s="188"/>
      <c r="R319" s="188"/>
      <c r="S319" s="188"/>
      <c r="T319" s="188"/>
      <c r="U319" s="189"/>
    </row>
    <row r="320" spans="2:21" x14ac:dyDescent="0.35">
      <c r="B320" s="186"/>
      <c r="C320" s="163"/>
      <c r="D320" s="188"/>
      <c r="E320" s="188"/>
      <c r="F320" s="188"/>
      <c r="G320" s="188"/>
      <c r="H320" s="188"/>
      <c r="I320" s="188"/>
      <c r="J320" s="188"/>
      <c r="K320" s="188"/>
      <c r="L320" s="188"/>
      <c r="M320" s="188"/>
      <c r="N320" s="188"/>
      <c r="O320" s="188"/>
      <c r="P320" s="188"/>
      <c r="Q320" s="188"/>
      <c r="R320" s="188"/>
      <c r="S320" s="188"/>
      <c r="T320" s="188"/>
      <c r="U320" s="189"/>
    </row>
    <row r="321" spans="2:21" x14ac:dyDescent="0.35">
      <c r="B321" s="186"/>
      <c r="C321" s="163"/>
      <c r="D321" s="188"/>
      <c r="E321" s="188"/>
      <c r="F321" s="188"/>
      <c r="G321" s="188"/>
      <c r="H321" s="188"/>
      <c r="I321" s="188"/>
      <c r="J321" s="188"/>
      <c r="K321" s="188"/>
      <c r="L321" s="188"/>
      <c r="M321" s="188"/>
      <c r="N321" s="188"/>
      <c r="O321" s="188"/>
      <c r="P321" s="188"/>
      <c r="Q321" s="188"/>
      <c r="R321" s="188"/>
      <c r="S321" s="188"/>
      <c r="T321" s="188"/>
      <c r="U321" s="189"/>
    </row>
    <row r="322" spans="2:21" x14ac:dyDescent="0.35">
      <c r="B322" s="186"/>
      <c r="C322" s="163"/>
      <c r="D322" s="188"/>
      <c r="E322" s="188"/>
      <c r="F322" s="188"/>
      <c r="G322" s="188"/>
      <c r="H322" s="188"/>
      <c r="I322" s="188"/>
      <c r="J322" s="188"/>
      <c r="K322" s="188"/>
      <c r="L322" s="188"/>
      <c r="M322" s="188"/>
      <c r="N322" s="188"/>
      <c r="O322" s="188"/>
      <c r="P322" s="188"/>
      <c r="Q322" s="188"/>
      <c r="R322" s="188"/>
      <c r="S322" s="188"/>
      <c r="T322" s="188"/>
      <c r="U322" s="189"/>
    </row>
    <row r="323" spans="2:21" x14ac:dyDescent="0.35">
      <c r="B323" s="186"/>
      <c r="C323" s="163"/>
      <c r="D323" s="188"/>
      <c r="E323" s="188"/>
      <c r="F323" s="188"/>
      <c r="G323" s="188"/>
      <c r="H323" s="188"/>
      <c r="I323" s="188"/>
      <c r="J323" s="188"/>
      <c r="K323" s="188"/>
      <c r="L323" s="188"/>
      <c r="M323" s="188"/>
      <c r="N323" s="188"/>
      <c r="O323" s="188"/>
      <c r="P323" s="188"/>
      <c r="Q323" s="188"/>
      <c r="R323" s="188"/>
      <c r="S323" s="188"/>
      <c r="T323" s="188"/>
      <c r="U323" s="189"/>
    </row>
    <row r="324" spans="2:21" x14ac:dyDescent="0.35">
      <c r="B324" s="186"/>
      <c r="C324" s="163"/>
      <c r="D324" s="188"/>
      <c r="E324" s="188"/>
      <c r="F324" s="188"/>
      <c r="G324" s="188"/>
      <c r="H324" s="188"/>
      <c r="I324" s="188"/>
      <c r="J324" s="188"/>
      <c r="K324" s="188"/>
      <c r="L324" s="188"/>
      <c r="M324" s="188"/>
      <c r="N324" s="188"/>
      <c r="O324" s="188"/>
      <c r="P324" s="188"/>
      <c r="Q324" s="188"/>
      <c r="R324" s="188"/>
      <c r="S324" s="188"/>
      <c r="T324" s="188"/>
      <c r="U324" s="189"/>
    </row>
    <row r="325" spans="2:21" x14ac:dyDescent="0.35">
      <c r="B325" s="186"/>
      <c r="C325" s="163"/>
      <c r="D325" s="188"/>
      <c r="E325" s="188"/>
      <c r="F325" s="188"/>
      <c r="G325" s="188"/>
      <c r="H325" s="188"/>
      <c r="I325" s="188"/>
      <c r="J325" s="188"/>
      <c r="K325" s="188"/>
      <c r="L325" s="188"/>
      <c r="M325" s="188"/>
      <c r="N325" s="188"/>
      <c r="O325" s="188"/>
      <c r="P325" s="188"/>
      <c r="Q325" s="188"/>
      <c r="R325" s="188"/>
      <c r="S325" s="188"/>
      <c r="T325" s="188"/>
      <c r="U325" s="189"/>
    </row>
    <row r="326" spans="2:21" x14ac:dyDescent="0.35">
      <c r="B326" s="186"/>
      <c r="C326" s="163"/>
      <c r="D326" s="188"/>
      <c r="E326" s="188"/>
      <c r="F326" s="188"/>
      <c r="G326" s="188"/>
      <c r="H326" s="188"/>
      <c r="I326" s="188"/>
      <c r="J326" s="188"/>
      <c r="K326" s="188"/>
      <c r="L326" s="188"/>
      <c r="M326" s="188"/>
      <c r="N326" s="188"/>
      <c r="O326" s="188"/>
      <c r="P326" s="188"/>
      <c r="Q326" s="188"/>
      <c r="R326" s="188"/>
      <c r="S326" s="188"/>
      <c r="T326" s="188"/>
      <c r="U326" s="189"/>
    </row>
    <row r="327" spans="2:21" x14ac:dyDescent="0.35">
      <c r="B327" s="186"/>
      <c r="C327" s="163"/>
      <c r="D327" s="188"/>
      <c r="E327" s="188"/>
      <c r="F327" s="188"/>
      <c r="G327" s="188"/>
      <c r="H327" s="188"/>
      <c r="I327" s="188"/>
      <c r="J327" s="188"/>
      <c r="K327" s="188"/>
      <c r="L327" s="188"/>
      <c r="M327" s="188"/>
      <c r="N327" s="188"/>
      <c r="O327" s="188"/>
      <c r="P327" s="188"/>
      <c r="Q327" s="188"/>
      <c r="R327" s="188"/>
      <c r="S327" s="188"/>
      <c r="T327" s="188"/>
      <c r="U327" s="189"/>
    </row>
    <row r="328" spans="2:21" x14ac:dyDescent="0.35">
      <c r="B328" s="186"/>
      <c r="C328" s="163"/>
      <c r="D328" s="188"/>
      <c r="E328" s="188"/>
      <c r="F328" s="188"/>
      <c r="G328" s="188"/>
      <c r="H328" s="188"/>
      <c r="I328" s="188"/>
      <c r="J328" s="188"/>
      <c r="K328" s="188"/>
      <c r="L328" s="188"/>
      <c r="M328" s="188"/>
      <c r="N328" s="188"/>
      <c r="O328" s="188"/>
      <c r="P328" s="188"/>
      <c r="Q328" s="188"/>
      <c r="R328" s="188"/>
      <c r="S328" s="188"/>
      <c r="T328" s="188"/>
      <c r="U328" s="189"/>
    </row>
    <row r="329" spans="2:21" x14ac:dyDescent="0.35">
      <c r="B329" s="186"/>
      <c r="C329" s="163"/>
      <c r="D329" s="188"/>
      <c r="E329" s="188"/>
      <c r="F329" s="188"/>
      <c r="G329" s="188"/>
      <c r="H329" s="188"/>
      <c r="I329" s="188"/>
      <c r="J329" s="188"/>
      <c r="K329" s="188"/>
      <c r="L329" s="188"/>
      <c r="M329" s="188"/>
      <c r="N329" s="188"/>
      <c r="O329" s="188"/>
      <c r="P329" s="188"/>
      <c r="Q329" s="188"/>
      <c r="R329" s="188"/>
      <c r="S329" s="188"/>
      <c r="T329" s="188"/>
      <c r="U329" s="189"/>
    </row>
    <row r="330" spans="2:21" x14ac:dyDescent="0.35">
      <c r="B330" s="186"/>
      <c r="C330" s="163"/>
      <c r="D330" s="188"/>
      <c r="E330" s="188"/>
      <c r="F330" s="188"/>
      <c r="G330" s="188"/>
      <c r="H330" s="188"/>
      <c r="I330" s="188"/>
      <c r="J330" s="188"/>
      <c r="K330" s="188"/>
      <c r="L330" s="188"/>
      <c r="M330" s="188"/>
      <c r="N330" s="188"/>
      <c r="O330" s="188"/>
      <c r="P330" s="188"/>
      <c r="Q330" s="188"/>
      <c r="R330" s="188"/>
      <c r="S330" s="188"/>
      <c r="T330" s="188"/>
      <c r="U330" s="189"/>
    </row>
    <row r="331" spans="2:21" x14ac:dyDescent="0.35">
      <c r="B331" s="186"/>
      <c r="C331" s="163"/>
      <c r="D331" s="188"/>
      <c r="E331" s="188"/>
      <c r="F331" s="188"/>
      <c r="G331" s="188"/>
      <c r="H331" s="188"/>
      <c r="I331" s="188"/>
      <c r="J331" s="188"/>
      <c r="K331" s="188"/>
      <c r="L331" s="188"/>
      <c r="M331" s="188"/>
      <c r="N331" s="188"/>
      <c r="O331" s="188"/>
      <c r="P331" s="188"/>
      <c r="Q331" s="188"/>
      <c r="R331" s="188"/>
      <c r="S331" s="188"/>
      <c r="T331" s="188"/>
      <c r="U331" s="189"/>
    </row>
    <row r="332" spans="2:21" x14ac:dyDescent="0.35">
      <c r="B332" s="186"/>
      <c r="C332" s="163"/>
      <c r="D332" s="188"/>
      <c r="E332" s="188"/>
      <c r="F332" s="188"/>
      <c r="G332" s="188"/>
      <c r="H332" s="188"/>
      <c r="I332" s="188"/>
      <c r="J332" s="188"/>
      <c r="K332" s="188"/>
      <c r="L332" s="188"/>
      <c r="M332" s="188"/>
      <c r="N332" s="188"/>
      <c r="O332" s="188"/>
      <c r="P332" s="188"/>
      <c r="Q332" s="188"/>
      <c r="R332" s="188"/>
      <c r="S332" s="188"/>
      <c r="T332" s="188"/>
      <c r="U332" s="189"/>
    </row>
    <row r="333" spans="2:21" x14ac:dyDescent="0.35">
      <c r="B333" s="186"/>
      <c r="C333" s="163"/>
      <c r="D333" s="188"/>
      <c r="E333" s="188"/>
      <c r="F333" s="188"/>
      <c r="G333" s="188"/>
      <c r="H333" s="188"/>
      <c r="I333" s="188"/>
      <c r="J333" s="188"/>
      <c r="K333" s="188"/>
      <c r="L333" s="188"/>
      <c r="M333" s="188"/>
      <c r="N333" s="188"/>
      <c r="O333" s="188"/>
      <c r="P333" s="188"/>
      <c r="Q333" s="188"/>
      <c r="R333" s="188"/>
      <c r="S333" s="188"/>
      <c r="T333" s="188"/>
      <c r="U333" s="189"/>
    </row>
    <row r="334" spans="2:21" x14ac:dyDescent="0.35">
      <c r="B334" s="186"/>
      <c r="C334" s="163"/>
      <c r="D334" s="188"/>
      <c r="E334" s="188"/>
      <c r="F334" s="188"/>
      <c r="G334" s="188"/>
      <c r="H334" s="188"/>
      <c r="I334" s="188"/>
      <c r="J334" s="188"/>
      <c r="K334" s="188"/>
      <c r="L334" s="188"/>
      <c r="M334" s="188"/>
      <c r="N334" s="188"/>
      <c r="O334" s="188"/>
      <c r="P334" s="188"/>
      <c r="Q334" s="188"/>
      <c r="R334" s="188"/>
      <c r="S334" s="188"/>
      <c r="T334" s="188"/>
      <c r="U334" s="189"/>
    </row>
    <row r="335" spans="2:21" x14ac:dyDescent="0.35">
      <c r="B335" s="186"/>
      <c r="C335" s="163"/>
      <c r="D335" s="188"/>
      <c r="E335" s="188"/>
      <c r="F335" s="188"/>
      <c r="G335" s="188"/>
      <c r="H335" s="188"/>
      <c r="I335" s="188"/>
      <c r="J335" s="188"/>
      <c r="K335" s="188"/>
      <c r="L335" s="188"/>
      <c r="M335" s="188"/>
      <c r="N335" s="188"/>
      <c r="O335" s="188"/>
      <c r="P335" s="188"/>
      <c r="Q335" s="188"/>
      <c r="R335" s="188"/>
      <c r="S335" s="188"/>
      <c r="T335" s="188"/>
      <c r="U335" s="189"/>
    </row>
    <row r="336" spans="2:21" x14ac:dyDescent="0.35">
      <c r="B336" s="186"/>
      <c r="C336" s="163"/>
      <c r="D336" s="188"/>
      <c r="E336" s="188"/>
      <c r="F336" s="188"/>
      <c r="G336" s="188"/>
      <c r="H336" s="188"/>
      <c r="I336" s="188"/>
      <c r="J336" s="188"/>
      <c r="K336" s="188"/>
      <c r="L336" s="188"/>
      <c r="M336" s="188"/>
      <c r="N336" s="188"/>
      <c r="O336" s="188"/>
      <c r="P336" s="188"/>
      <c r="Q336" s="188"/>
      <c r="R336" s="188"/>
      <c r="S336" s="188"/>
      <c r="T336" s="188"/>
      <c r="U336" s="189"/>
    </row>
    <row r="337" spans="2:21" x14ac:dyDescent="0.35">
      <c r="B337" s="186"/>
      <c r="C337" s="163"/>
      <c r="D337" s="188"/>
      <c r="E337" s="188"/>
      <c r="F337" s="188"/>
      <c r="G337" s="188"/>
      <c r="H337" s="188"/>
      <c r="I337" s="188"/>
      <c r="J337" s="188"/>
      <c r="K337" s="188"/>
      <c r="L337" s="188"/>
      <c r="M337" s="188"/>
      <c r="N337" s="188"/>
      <c r="O337" s="188"/>
      <c r="P337" s="188"/>
      <c r="Q337" s="188"/>
      <c r="R337" s="188"/>
      <c r="S337" s="188"/>
      <c r="T337" s="188"/>
      <c r="U337" s="189"/>
    </row>
    <row r="338" spans="2:21" x14ac:dyDescent="0.35">
      <c r="B338" s="186"/>
      <c r="C338" s="163"/>
      <c r="D338" s="188"/>
      <c r="E338" s="188"/>
      <c r="F338" s="188"/>
      <c r="G338" s="188"/>
      <c r="H338" s="188"/>
      <c r="I338" s="188"/>
      <c r="J338" s="188"/>
      <c r="K338" s="188"/>
      <c r="L338" s="188"/>
      <c r="M338" s="188"/>
      <c r="N338" s="188"/>
      <c r="O338" s="188"/>
      <c r="P338" s="188"/>
      <c r="Q338" s="188"/>
      <c r="R338" s="188"/>
      <c r="S338" s="188"/>
      <c r="T338" s="188"/>
      <c r="U338" s="189"/>
    </row>
    <row r="339" spans="2:21" x14ac:dyDescent="0.35">
      <c r="B339" s="186"/>
      <c r="C339" s="163"/>
      <c r="D339" s="188"/>
      <c r="E339" s="188"/>
      <c r="F339" s="188"/>
      <c r="G339" s="188"/>
      <c r="H339" s="188"/>
      <c r="I339" s="188"/>
      <c r="J339" s="188"/>
      <c r="K339" s="188"/>
      <c r="L339" s="188"/>
      <c r="M339" s="188"/>
      <c r="N339" s="188"/>
      <c r="O339" s="188"/>
      <c r="P339" s="188"/>
      <c r="Q339" s="188"/>
      <c r="R339" s="188"/>
      <c r="S339" s="188"/>
      <c r="T339" s="188"/>
      <c r="U339" s="189"/>
    </row>
    <row r="340" spans="2:21" x14ac:dyDescent="0.35">
      <c r="B340" s="186"/>
      <c r="C340" s="163"/>
      <c r="D340" s="188"/>
      <c r="E340" s="188"/>
      <c r="F340" s="188"/>
      <c r="G340" s="188"/>
      <c r="H340" s="188"/>
      <c r="I340" s="188"/>
      <c r="J340" s="188"/>
      <c r="K340" s="188"/>
      <c r="L340" s="188"/>
      <c r="M340" s="188"/>
      <c r="N340" s="188"/>
      <c r="O340" s="188"/>
      <c r="P340" s="188"/>
      <c r="Q340" s="188"/>
      <c r="R340" s="188"/>
      <c r="S340" s="188"/>
      <c r="T340" s="188"/>
      <c r="U340" s="189"/>
    </row>
    <row r="341" spans="2:21" x14ac:dyDescent="0.35">
      <c r="B341" s="186"/>
      <c r="C341" s="163"/>
      <c r="D341" s="188"/>
      <c r="E341" s="188"/>
      <c r="F341" s="188"/>
      <c r="G341" s="188"/>
      <c r="H341" s="188"/>
      <c r="I341" s="188"/>
      <c r="J341" s="188"/>
      <c r="K341" s="188"/>
      <c r="L341" s="188"/>
      <c r="M341" s="188"/>
      <c r="N341" s="188"/>
      <c r="O341" s="188"/>
      <c r="P341" s="188"/>
      <c r="Q341" s="188"/>
      <c r="R341" s="188"/>
      <c r="S341" s="188"/>
      <c r="T341" s="188"/>
      <c r="U341" s="189"/>
    </row>
    <row r="342" spans="2:21" x14ac:dyDescent="0.35">
      <c r="B342" s="186"/>
      <c r="C342" s="163"/>
      <c r="D342" s="188"/>
      <c r="E342" s="188"/>
      <c r="F342" s="188"/>
      <c r="G342" s="188"/>
      <c r="H342" s="188"/>
      <c r="I342" s="188"/>
      <c r="J342" s="188"/>
      <c r="K342" s="188"/>
      <c r="L342" s="188"/>
      <c r="M342" s="188"/>
      <c r="N342" s="188"/>
      <c r="O342" s="188"/>
      <c r="P342" s="188"/>
      <c r="Q342" s="188"/>
      <c r="R342" s="188"/>
      <c r="S342" s="188"/>
      <c r="T342" s="188"/>
      <c r="U342" s="189"/>
    </row>
    <row r="343" spans="2:21" x14ac:dyDescent="0.35">
      <c r="B343" s="186"/>
      <c r="C343" s="163"/>
      <c r="D343" s="188"/>
      <c r="E343" s="188"/>
      <c r="F343" s="188"/>
      <c r="G343" s="188"/>
      <c r="H343" s="188"/>
      <c r="I343" s="188"/>
      <c r="J343" s="188"/>
      <c r="K343" s="188"/>
      <c r="L343" s="188"/>
      <c r="M343" s="188"/>
      <c r="N343" s="188"/>
      <c r="O343" s="188"/>
      <c r="P343" s="188"/>
      <c r="Q343" s="188"/>
      <c r="R343" s="188"/>
      <c r="S343" s="188"/>
      <c r="T343" s="188"/>
      <c r="U343" s="189"/>
    </row>
    <row r="344" spans="2:21" x14ac:dyDescent="0.35">
      <c r="B344" s="186"/>
      <c r="C344" s="163"/>
      <c r="D344" s="188"/>
      <c r="E344" s="188"/>
      <c r="F344" s="188"/>
      <c r="G344" s="188"/>
      <c r="H344" s="188"/>
      <c r="I344" s="188"/>
      <c r="J344" s="188"/>
      <c r="K344" s="188"/>
      <c r="L344" s="188"/>
      <c r="M344" s="188"/>
      <c r="N344" s="188"/>
      <c r="O344" s="188"/>
      <c r="P344" s="188"/>
      <c r="Q344" s="188"/>
      <c r="R344" s="188"/>
      <c r="S344" s="188"/>
      <c r="T344" s="188"/>
      <c r="U344" s="189"/>
    </row>
    <row r="345" spans="2:21" x14ac:dyDescent="0.35">
      <c r="B345" s="186"/>
      <c r="C345" s="163"/>
      <c r="D345" s="188"/>
      <c r="E345" s="188"/>
      <c r="F345" s="188"/>
      <c r="G345" s="188"/>
      <c r="H345" s="188"/>
      <c r="I345" s="188"/>
      <c r="J345" s="188"/>
      <c r="K345" s="188"/>
      <c r="L345" s="188"/>
      <c r="M345" s="188"/>
      <c r="N345" s="188"/>
      <c r="O345" s="188"/>
      <c r="P345" s="188"/>
      <c r="Q345" s="188"/>
      <c r="R345" s="188"/>
      <c r="S345" s="188"/>
      <c r="T345" s="188"/>
      <c r="U345" s="189"/>
    </row>
    <row r="346" spans="2:21" x14ac:dyDescent="0.35">
      <c r="B346" s="186"/>
      <c r="C346" s="163"/>
      <c r="D346" s="188"/>
      <c r="E346" s="188"/>
      <c r="F346" s="188"/>
      <c r="G346" s="188"/>
      <c r="H346" s="188"/>
      <c r="I346" s="188"/>
      <c r="J346" s="188"/>
      <c r="K346" s="188"/>
      <c r="L346" s="188"/>
      <c r="M346" s="188"/>
      <c r="N346" s="188"/>
      <c r="O346" s="188"/>
      <c r="P346" s="188"/>
      <c r="Q346" s="188"/>
      <c r="R346" s="188"/>
      <c r="S346" s="188"/>
      <c r="T346" s="188"/>
      <c r="U346" s="189"/>
    </row>
    <row r="347" spans="2:21" x14ac:dyDescent="0.35">
      <c r="B347" s="186"/>
      <c r="C347" s="163"/>
      <c r="D347" s="188"/>
      <c r="E347" s="188"/>
      <c r="F347" s="188"/>
      <c r="G347" s="188"/>
      <c r="H347" s="188"/>
      <c r="I347" s="188"/>
      <c r="J347" s="188"/>
      <c r="K347" s="188"/>
      <c r="L347" s="188"/>
      <c r="M347" s="188"/>
      <c r="N347" s="188"/>
      <c r="O347" s="188"/>
      <c r="P347" s="188"/>
      <c r="Q347" s="188"/>
      <c r="R347" s="188"/>
      <c r="S347" s="188"/>
      <c r="T347" s="188"/>
      <c r="U347" s="189"/>
    </row>
    <row r="348" spans="2:21" x14ac:dyDescent="0.35">
      <c r="B348" s="186"/>
      <c r="C348" s="163"/>
      <c r="D348" s="188"/>
      <c r="E348" s="188"/>
      <c r="F348" s="188"/>
      <c r="G348" s="188"/>
      <c r="H348" s="188"/>
      <c r="I348" s="188"/>
      <c r="J348" s="188"/>
      <c r="K348" s="188"/>
      <c r="L348" s="188"/>
      <c r="M348" s="188"/>
      <c r="N348" s="188"/>
      <c r="O348" s="188"/>
      <c r="P348" s="188"/>
      <c r="Q348" s="188"/>
      <c r="R348" s="188"/>
      <c r="S348" s="188"/>
      <c r="T348" s="188"/>
      <c r="U348" s="189"/>
    </row>
    <row r="349" spans="2:21" x14ac:dyDescent="0.35">
      <c r="B349" s="186"/>
      <c r="C349" s="163"/>
      <c r="D349" s="188"/>
      <c r="E349" s="188"/>
      <c r="F349" s="188"/>
      <c r="G349" s="188"/>
      <c r="H349" s="188"/>
      <c r="I349" s="188"/>
      <c r="J349" s="188"/>
      <c r="K349" s="188"/>
      <c r="L349" s="188"/>
      <c r="M349" s="188"/>
      <c r="N349" s="188"/>
      <c r="O349" s="188"/>
      <c r="P349" s="188"/>
      <c r="Q349" s="188"/>
      <c r="R349" s="188"/>
      <c r="S349" s="188"/>
      <c r="T349" s="188"/>
      <c r="U349" s="189"/>
    </row>
    <row r="350" spans="2:21" x14ac:dyDescent="0.35">
      <c r="B350" s="186"/>
      <c r="C350" s="163"/>
      <c r="D350" s="188"/>
      <c r="E350" s="188"/>
      <c r="F350" s="188"/>
      <c r="G350" s="188"/>
      <c r="H350" s="188"/>
      <c r="I350" s="188"/>
      <c r="J350" s="188"/>
      <c r="K350" s="188"/>
      <c r="L350" s="188"/>
      <c r="M350" s="188"/>
      <c r="N350" s="188"/>
      <c r="O350" s="188"/>
      <c r="P350" s="188"/>
      <c r="Q350" s="188"/>
      <c r="R350" s="188"/>
      <c r="S350" s="188"/>
      <c r="T350" s="188"/>
      <c r="U350" s="189"/>
    </row>
    <row r="351" spans="2:21" x14ac:dyDescent="0.35">
      <c r="B351" s="186"/>
      <c r="C351" s="163"/>
      <c r="D351" s="188"/>
      <c r="E351" s="188"/>
      <c r="F351" s="188"/>
      <c r="G351" s="188"/>
      <c r="H351" s="188"/>
      <c r="I351" s="188"/>
      <c r="J351" s="188"/>
      <c r="K351" s="188"/>
      <c r="L351" s="188"/>
      <c r="M351" s="188"/>
      <c r="N351" s="188"/>
      <c r="O351" s="188"/>
      <c r="P351" s="188"/>
      <c r="Q351" s="188"/>
      <c r="R351" s="188"/>
      <c r="S351" s="188"/>
      <c r="T351" s="188"/>
      <c r="U351" s="189"/>
    </row>
    <row r="352" spans="2:21" x14ac:dyDescent="0.35">
      <c r="B352" s="186"/>
      <c r="C352" s="163"/>
      <c r="D352" s="188"/>
      <c r="E352" s="188"/>
      <c r="F352" s="188"/>
      <c r="G352" s="188"/>
      <c r="H352" s="188"/>
      <c r="I352" s="188"/>
      <c r="J352" s="188"/>
      <c r="K352" s="188"/>
      <c r="L352" s="188"/>
      <c r="M352" s="188"/>
      <c r="N352" s="188"/>
      <c r="O352" s="188"/>
      <c r="P352" s="188"/>
      <c r="Q352" s="188"/>
      <c r="R352" s="188"/>
      <c r="S352" s="188"/>
      <c r="T352" s="188"/>
      <c r="U352" s="189"/>
    </row>
    <row r="353" spans="2:21" x14ac:dyDescent="0.35">
      <c r="B353" s="186"/>
      <c r="C353" s="163"/>
      <c r="D353" s="188"/>
      <c r="E353" s="188"/>
      <c r="F353" s="188"/>
      <c r="G353" s="188"/>
      <c r="H353" s="188"/>
      <c r="I353" s="188"/>
      <c r="J353" s="188"/>
      <c r="K353" s="188"/>
      <c r="L353" s="188"/>
      <c r="M353" s="188"/>
      <c r="N353" s="188"/>
      <c r="O353" s="188"/>
      <c r="P353" s="188"/>
      <c r="Q353" s="188"/>
      <c r="R353" s="188"/>
      <c r="S353" s="188"/>
      <c r="T353" s="188"/>
      <c r="U353" s="189"/>
    </row>
    <row r="354" spans="2:21" x14ac:dyDescent="0.35">
      <c r="B354" s="186"/>
      <c r="C354" s="163"/>
      <c r="D354" s="188"/>
      <c r="E354" s="188"/>
      <c r="F354" s="188"/>
      <c r="G354" s="188"/>
      <c r="H354" s="188"/>
      <c r="I354" s="188"/>
      <c r="J354" s="188"/>
      <c r="K354" s="188"/>
      <c r="L354" s="188"/>
      <c r="M354" s="188"/>
      <c r="N354" s="188"/>
      <c r="O354" s="188"/>
      <c r="P354" s="188"/>
      <c r="Q354" s="188"/>
      <c r="R354" s="188"/>
      <c r="S354" s="188"/>
      <c r="T354" s="188"/>
      <c r="U354" s="189"/>
    </row>
    <row r="355" spans="2:21" x14ac:dyDescent="0.35">
      <c r="B355" s="186"/>
      <c r="C355" s="163"/>
      <c r="D355" s="188"/>
      <c r="E355" s="188"/>
      <c r="F355" s="188"/>
      <c r="G355" s="188"/>
      <c r="H355" s="188"/>
      <c r="I355" s="188"/>
      <c r="J355" s="188"/>
      <c r="K355" s="188"/>
      <c r="L355" s="188"/>
      <c r="M355" s="188"/>
      <c r="N355" s="188"/>
      <c r="O355" s="188"/>
      <c r="P355" s="188"/>
      <c r="Q355" s="188"/>
      <c r="R355" s="188"/>
      <c r="S355" s="188"/>
      <c r="T355" s="188"/>
      <c r="U355" s="189"/>
    </row>
    <row r="356" spans="2:21" x14ac:dyDescent="0.35">
      <c r="B356" s="186"/>
      <c r="C356" s="163"/>
      <c r="D356" s="188"/>
      <c r="E356" s="188"/>
      <c r="F356" s="188"/>
      <c r="G356" s="188"/>
      <c r="H356" s="188"/>
      <c r="I356" s="188"/>
      <c r="J356" s="188"/>
      <c r="K356" s="188"/>
      <c r="L356" s="188"/>
      <c r="M356" s="188"/>
      <c r="N356" s="188"/>
      <c r="O356" s="188"/>
      <c r="P356" s="188"/>
      <c r="Q356" s="188"/>
      <c r="R356" s="188"/>
      <c r="S356" s="188"/>
      <c r="T356" s="188"/>
      <c r="U356" s="189"/>
    </row>
    <row r="357" spans="2:21" x14ac:dyDescent="0.35">
      <c r="B357" s="186"/>
      <c r="C357" s="163"/>
      <c r="D357" s="188"/>
      <c r="E357" s="188"/>
      <c r="F357" s="188"/>
      <c r="G357" s="188"/>
      <c r="H357" s="188"/>
      <c r="I357" s="188"/>
      <c r="J357" s="188"/>
      <c r="K357" s="188"/>
      <c r="L357" s="188"/>
      <c r="M357" s="188"/>
      <c r="N357" s="188"/>
      <c r="O357" s="188"/>
      <c r="P357" s="188"/>
      <c r="Q357" s="188"/>
      <c r="R357" s="188"/>
      <c r="S357" s="188"/>
      <c r="T357" s="188"/>
      <c r="U357" s="189"/>
    </row>
    <row r="358" spans="2:21" x14ac:dyDescent="0.35">
      <c r="B358" s="186"/>
      <c r="C358" s="163"/>
      <c r="D358" s="188"/>
      <c r="E358" s="188"/>
      <c r="F358" s="188"/>
      <c r="G358" s="188"/>
      <c r="H358" s="188"/>
      <c r="I358" s="188"/>
      <c r="J358" s="188"/>
      <c r="K358" s="188"/>
      <c r="L358" s="188"/>
      <c r="M358" s="188"/>
      <c r="N358" s="188"/>
      <c r="O358" s="188"/>
      <c r="P358" s="188"/>
      <c r="Q358" s="188"/>
      <c r="R358" s="188"/>
      <c r="S358" s="188"/>
      <c r="T358" s="188"/>
      <c r="U358" s="189"/>
    </row>
    <row r="359" spans="2:21" x14ac:dyDescent="0.35">
      <c r="B359" s="186"/>
      <c r="C359" s="163"/>
      <c r="D359" s="188"/>
      <c r="E359" s="188"/>
      <c r="F359" s="188"/>
      <c r="G359" s="188"/>
      <c r="H359" s="188"/>
      <c r="I359" s="188"/>
      <c r="J359" s="188"/>
      <c r="K359" s="188"/>
      <c r="L359" s="188"/>
      <c r="M359" s="188"/>
      <c r="N359" s="188"/>
      <c r="O359" s="188"/>
      <c r="P359" s="188"/>
      <c r="Q359" s="188"/>
      <c r="R359" s="188"/>
      <c r="S359" s="188"/>
      <c r="T359" s="188"/>
      <c r="U359" s="189"/>
    </row>
    <row r="360" spans="2:21" x14ac:dyDescent="0.35">
      <c r="B360" s="186"/>
      <c r="C360" s="163"/>
      <c r="D360" s="188"/>
      <c r="E360" s="188"/>
      <c r="F360" s="188"/>
      <c r="G360" s="188"/>
      <c r="H360" s="188"/>
      <c r="I360" s="188"/>
      <c r="J360" s="188"/>
      <c r="K360" s="188"/>
      <c r="L360" s="188"/>
      <c r="M360" s="188"/>
      <c r="N360" s="188"/>
      <c r="O360" s="188"/>
      <c r="P360" s="188"/>
      <c r="Q360" s="188"/>
      <c r="R360" s="188"/>
      <c r="S360" s="188"/>
      <c r="T360" s="188"/>
      <c r="U360" s="189"/>
    </row>
    <row r="361" spans="2:21" x14ac:dyDescent="0.35">
      <c r="B361" s="186"/>
      <c r="C361" s="163"/>
      <c r="D361" s="188"/>
      <c r="E361" s="188"/>
      <c r="F361" s="188"/>
      <c r="G361" s="188"/>
      <c r="H361" s="188"/>
      <c r="I361" s="188"/>
      <c r="J361" s="188"/>
      <c r="K361" s="188"/>
      <c r="L361" s="188"/>
      <c r="M361" s="188"/>
      <c r="N361" s="188"/>
      <c r="O361" s="188"/>
      <c r="P361" s="188"/>
      <c r="Q361" s="188"/>
      <c r="R361" s="188"/>
      <c r="S361" s="188"/>
      <c r="T361" s="188"/>
      <c r="U361" s="189"/>
    </row>
    <row r="362" spans="2:21" x14ac:dyDescent="0.35">
      <c r="B362" s="186"/>
      <c r="C362" s="163"/>
      <c r="D362" s="188"/>
      <c r="E362" s="188"/>
      <c r="F362" s="188"/>
      <c r="G362" s="188"/>
      <c r="H362" s="188"/>
      <c r="I362" s="188"/>
      <c r="J362" s="188"/>
      <c r="K362" s="188"/>
      <c r="L362" s="188"/>
      <c r="M362" s="188"/>
      <c r="N362" s="188"/>
      <c r="O362" s="188"/>
      <c r="P362" s="188"/>
      <c r="Q362" s="188"/>
      <c r="R362" s="188"/>
      <c r="S362" s="188"/>
      <c r="T362" s="188"/>
      <c r="U362" s="189"/>
    </row>
    <row r="363" spans="2:21" x14ac:dyDescent="0.35">
      <c r="B363" s="186"/>
      <c r="C363" s="163"/>
      <c r="D363" s="188"/>
      <c r="E363" s="188"/>
      <c r="F363" s="188"/>
      <c r="G363" s="188"/>
      <c r="H363" s="188"/>
      <c r="I363" s="188"/>
      <c r="J363" s="188"/>
      <c r="K363" s="188"/>
      <c r="L363" s="188"/>
      <c r="M363" s="188"/>
      <c r="N363" s="188"/>
      <c r="O363" s="188"/>
      <c r="P363" s="188"/>
      <c r="Q363" s="188"/>
      <c r="R363" s="188"/>
      <c r="S363" s="188"/>
      <c r="T363" s="188"/>
      <c r="U363" s="189"/>
    </row>
    <row r="364" spans="2:21" x14ac:dyDescent="0.35">
      <c r="B364" s="186"/>
      <c r="C364" s="163"/>
      <c r="D364" s="188"/>
      <c r="E364" s="188"/>
      <c r="F364" s="188"/>
      <c r="G364" s="188"/>
      <c r="H364" s="188"/>
      <c r="I364" s="188"/>
      <c r="J364" s="188"/>
      <c r="K364" s="188"/>
      <c r="L364" s="188"/>
      <c r="M364" s="188"/>
      <c r="N364" s="188"/>
      <c r="O364" s="188"/>
      <c r="P364" s="188"/>
      <c r="Q364" s="188"/>
      <c r="R364" s="188"/>
      <c r="S364" s="188"/>
      <c r="T364" s="188"/>
      <c r="U364" s="189"/>
    </row>
    <row r="365" spans="2:21" x14ac:dyDescent="0.35">
      <c r="B365" s="186"/>
      <c r="C365" s="163"/>
      <c r="D365" s="188"/>
      <c r="E365" s="188"/>
      <c r="F365" s="188"/>
      <c r="G365" s="188"/>
      <c r="H365" s="188"/>
      <c r="I365" s="188"/>
      <c r="J365" s="188"/>
      <c r="K365" s="188"/>
      <c r="L365" s="188"/>
      <c r="M365" s="188"/>
      <c r="N365" s="188"/>
      <c r="O365" s="188"/>
      <c r="P365" s="188"/>
      <c r="Q365" s="188"/>
      <c r="R365" s="188"/>
      <c r="S365" s="188"/>
      <c r="T365" s="188"/>
      <c r="U365" s="189"/>
    </row>
    <row r="366" spans="2:21" x14ac:dyDescent="0.35">
      <c r="B366" s="186"/>
      <c r="C366" s="163"/>
      <c r="D366" s="188"/>
      <c r="E366" s="188"/>
      <c r="F366" s="188"/>
      <c r="G366" s="188"/>
      <c r="H366" s="188"/>
      <c r="I366" s="188"/>
      <c r="J366" s="188"/>
      <c r="K366" s="188"/>
      <c r="L366" s="188"/>
      <c r="M366" s="188"/>
      <c r="N366" s="188"/>
      <c r="O366" s="188"/>
      <c r="P366" s="188"/>
      <c r="Q366" s="188"/>
      <c r="R366" s="188"/>
      <c r="S366" s="188"/>
      <c r="T366" s="188"/>
      <c r="U366" s="189"/>
    </row>
    <row r="367" spans="2:21" x14ac:dyDescent="0.35">
      <c r="B367" s="186"/>
      <c r="C367" s="163"/>
      <c r="D367" s="188"/>
      <c r="E367" s="188"/>
      <c r="F367" s="188"/>
      <c r="G367" s="188"/>
      <c r="H367" s="188"/>
      <c r="I367" s="188"/>
      <c r="J367" s="188"/>
      <c r="K367" s="188"/>
      <c r="L367" s="188"/>
      <c r="M367" s="188"/>
      <c r="N367" s="188"/>
      <c r="O367" s="188"/>
      <c r="P367" s="188"/>
      <c r="Q367" s="188"/>
      <c r="R367" s="188"/>
      <c r="S367" s="188"/>
      <c r="T367" s="188"/>
      <c r="U367" s="189"/>
    </row>
    <row r="368" spans="2:21" x14ac:dyDescent="0.35">
      <c r="B368" s="186"/>
      <c r="C368" s="163"/>
      <c r="D368" s="188"/>
      <c r="E368" s="188"/>
      <c r="F368" s="188"/>
      <c r="G368" s="188"/>
      <c r="H368" s="188"/>
      <c r="I368" s="188"/>
      <c r="J368" s="188"/>
      <c r="K368" s="188"/>
      <c r="L368" s="188"/>
      <c r="M368" s="188"/>
      <c r="N368" s="188"/>
      <c r="O368" s="188"/>
      <c r="P368" s="188"/>
      <c r="Q368" s="188"/>
      <c r="R368" s="188"/>
      <c r="S368" s="188"/>
      <c r="T368" s="188"/>
      <c r="U368" s="189"/>
    </row>
    <row r="369" spans="2:21" x14ac:dyDescent="0.35">
      <c r="B369" s="186"/>
      <c r="C369" s="163"/>
      <c r="D369" s="188"/>
      <c r="E369" s="188"/>
      <c r="F369" s="188"/>
      <c r="G369" s="188"/>
      <c r="H369" s="188"/>
      <c r="I369" s="188"/>
      <c r="J369" s="188"/>
      <c r="K369" s="188"/>
      <c r="L369" s="188"/>
      <c r="M369" s="188"/>
      <c r="N369" s="188"/>
      <c r="O369" s="188"/>
      <c r="P369" s="188"/>
      <c r="Q369" s="188"/>
      <c r="R369" s="188"/>
      <c r="S369" s="188"/>
      <c r="T369" s="188"/>
      <c r="U369" s="189"/>
    </row>
    <row r="370" spans="2:21" x14ac:dyDescent="0.35">
      <c r="B370" s="186"/>
      <c r="C370" s="163"/>
      <c r="D370" s="188"/>
      <c r="E370" s="188"/>
      <c r="F370" s="188"/>
      <c r="G370" s="188"/>
      <c r="H370" s="188"/>
      <c r="I370" s="188"/>
      <c r="J370" s="188"/>
      <c r="K370" s="188"/>
      <c r="L370" s="188"/>
      <c r="M370" s="188"/>
      <c r="N370" s="188"/>
      <c r="O370" s="188"/>
      <c r="P370" s="188"/>
      <c r="Q370" s="188"/>
      <c r="R370" s="188"/>
      <c r="S370" s="188"/>
      <c r="T370" s="188"/>
      <c r="U370" s="189"/>
    </row>
    <row r="371" spans="2:21" x14ac:dyDescent="0.35">
      <c r="B371" s="186"/>
      <c r="C371" s="163"/>
      <c r="D371" s="188"/>
      <c r="E371" s="188"/>
      <c r="F371" s="188"/>
      <c r="G371" s="188"/>
      <c r="H371" s="188"/>
      <c r="I371" s="188"/>
      <c r="J371" s="188"/>
      <c r="K371" s="188"/>
      <c r="L371" s="188"/>
      <c r="M371" s="188"/>
      <c r="N371" s="188"/>
      <c r="O371" s="188"/>
      <c r="P371" s="188"/>
      <c r="Q371" s="188"/>
      <c r="R371" s="188"/>
      <c r="S371" s="188"/>
      <c r="T371" s="188"/>
      <c r="U371" s="189"/>
    </row>
    <row r="372" spans="2:21" x14ac:dyDescent="0.35">
      <c r="B372" s="186"/>
      <c r="C372" s="163"/>
      <c r="D372" s="188"/>
      <c r="E372" s="188"/>
      <c r="F372" s="188"/>
      <c r="G372" s="188"/>
      <c r="H372" s="188"/>
      <c r="I372" s="188"/>
      <c r="J372" s="188"/>
      <c r="K372" s="188"/>
      <c r="L372" s="188"/>
      <c r="M372" s="188"/>
      <c r="N372" s="188"/>
      <c r="O372" s="188"/>
      <c r="P372" s="188"/>
      <c r="Q372" s="188"/>
      <c r="R372" s="188"/>
      <c r="S372" s="188"/>
      <c r="T372" s="188"/>
      <c r="U372" s="189"/>
    </row>
    <row r="373" spans="2:21" x14ac:dyDescent="0.35">
      <c r="B373" s="186"/>
      <c r="C373" s="163"/>
      <c r="D373" s="188"/>
      <c r="E373" s="188"/>
      <c r="F373" s="188"/>
      <c r="G373" s="188"/>
      <c r="H373" s="188"/>
      <c r="I373" s="188"/>
      <c r="J373" s="188"/>
      <c r="K373" s="188"/>
      <c r="L373" s="188"/>
      <c r="M373" s="188"/>
      <c r="N373" s="188"/>
      <c r="O373" s="188"/>
      <c r="P373" s="188"/>
      <c r="Q373" s="188"/>
      <c r="R373" s="188"/>
      <c r="S373" s="188"/>
      <c r="T373" s="188"/>
      <c r="U373" s="189"/>
    </row>
    <row r="374" spans="2:21" x14ac:dyDescent="0.35">
      <c r="B374" s="186"/>
      <c r="C374" s="163"/>
      <c r="D374" s="188"/>
      <c r="E374" s="188"/>
      <c r="F374" s="188"/>
      <c r="G374" s="188"/>
      <c r="H374" s="188"/>
      <c r="I374" s="188"/>
      <c r="J374" s="188"/>
      <c r="K374" s="188"/>
      <c r="L374" s="188"/>
      <c r="M374" s="188"/>
      <c r="N374" s="188"/>
      <c r="O374" s="188"/>
      <c r="P374" s="188"/>
      <c r="Q374" s="188"/>
      <c r="R374" s="188"/>
      <c r="S374" s="188"/>
      <c r="T374" s="188"/>
      <c r="U374" s="189"/>
    </row>
    <row r="375" spans="2:21" x14ac:dyDescent="0.35">
      <c r="B375" s="186"/>
      <c r="C375" s="163"/>
      <c r="D375" s="188"/>
      <c r="E375" s="188"/>
      <c r="F375" s="188"/>
      <c r="G375" s="188"/>
      <c r="H375" s="188"/>
      <c r="I375" s="188"/>
      <c r="J375" s="188"/>
      <c r="K375" s="188"/>
      <c r="L375" s="188"/>
      <c r="M375" s="188"/>
      <c r="N375" s="188"/>
      <c r="O375" s="188"/>
      <c r="P375" s="188"/>
      <c r="Q375" s="188"/>
      <c r="R375" s="188"/>
      <c r="S375" s="188"/>
      <c r="T375" s="188"/>
      <c r="U375" s="189"/>
    </row>
    <row r="376" spans="2:21" x14ac:dyDescent="0.35">
      <c r="B376" s="186"/>
      <c r="C376" s="163"/>
      <c r="D376" s="188"/>
      <c r="E376" s="188"/>
      <c r="F376" s="188"/>
      <c r="G376" s="188"/>
      <c r="H376" s="188"/>
      <c r="I376" s="188"/>
      <c r="J376" s="188"/>
      <c r="K376" s="188"/>
      <c r="L376" s="188"/>
      <c r="M376" s="188"/>
      <c r="N376" s="188"/>
      <c r="O376" s="188"/>
      <c r="P376" s="188"/>
      <c r="Q376" s="188"/>
      <c r="R376" s="188"/>
      <c r="S376" s="188"/>
      <c r="T376" s="188"/>
      <c r="U376" s="189"/>
    </row>
    <row r="377" spans="2:21" x14ac:dyDescent="0.35">
      <c r="B377" s="186"/>
      <c r="C377" s="163"/>
      <c r="D377" s="188"/>
      <c r="E377" s="188"/>
      <c r="F377" s="188"/>
      <c r="G377" s="188"/>
      <c r="H377" s="188"/>
      <c r="I377" s="188"/>
      <c r="J377" s="188"/>
      <c r="K377" s="188"/>
      <c r="L377" s="188"/>
      <c r="M377" s="188"/>
      <c r="N377" s="188"/>
      <c r="O377" s="188"/>
      <c r="P377" s="188"/>
      <c r="Q377" s="188"/>
      <c r="R377" s="188"/>
      <c r="S377" s="188"/>
      <c r="T377" s="188"/>
      <c r="U377" s="189"/>
    </row>
    <row r="378" spans="2:21" x14ac:dyDescent="0.35">
      <c r="B378" s="186"/>
      <c r="C378" s="163"/>
      <c r="D378" s="188"/>
      <c r="E378" s="188"/>
      <c r="F378" s="188"/>
      <c r="G378" s="188"/>
      <c r="H378" s="188"/>
      <c r="I378" s="188"/>
      <c r="J378" s="188"/>
      <c r="K378" s="188"/>
      <c r="L378" s="188"/>
      <c r="M378" s="188"/>
      <c r="N378" s="188"/>
      <c r="O378" s="188"/>
      <c r="P378" s="188"/>
      <c r="Q378" s="188"/>
      <c r="R378" s="188"/>
      <c r="S378" s="188"/>
      <c r="T378" s="188"/>
      <c r="U378" s="189"/>
    </row>
    <row r="379" spans="2:21" x14ac:dyDescent="0.35">
      <c r="B379" s="186"/>
      <c r="C379" s="163"/>
      <c r="D379" s="188"/>
      <c r="E379" s="188"/>
      <c r="F379" s="188"/>
      <c r="G379" s="188"/>
      <c r="H379" s="188"/>
      <c r="I379" s="188"/>
      <c r="J379" s="188"/>
      <c r="K379" s="188"/>
      <c r="L379" s="188"/>
      <c r="M379" s="188"/>
      <c r="N379" s="188"/>
      <c r="O379" s="188"/>
      <c r="P379" s="188"/>
      <c r="Q379" s="188"/>
      <c r="R379" s="188"/>
      <c r="S379" s="188"/>
      <c r="T379" s="188"/>
      <c r="U379" s="189"/>
    </row>
    <row r="380" spans="2:21" x14ac:dyDescent="0.35">
      <c r="B380" s="186"/>
      <c r="C380" s="163"/>
      <c r="D380" s="188"/>
      <c r="E380" s="188"/>
      <c r="F380" s="188"/>
      <c r="G380" s="188"/>
      <c r="H380" s="188"/>
      <c r="I380" s="188"/>
      <c r="J380" s="188"/>
      <c r="K380" s="188"/>
      <c r="L380" s="188"/>
      <c r="M380" s="188"/>
      <c r="N380" s="188"/>
      <c r="O380" s="188"/>
      <c r="P380" s="188"/>
      <c r="Q380" s="188"/>
      <c r="R380" s="188"/>
      <c r="S380" s="188"/>
      <c r="T380" s="188"/>
      <c r="U380" s="189"/>
    </row>
    <row r="381" spans="2:21" x14ac:dyDescent="0.35">
      <c r="B381" s="186"/>
      <c r="C381" s="163"/>
      <c r="D381" s="188"/>
      <c r="E381" s="188"/>
      <c r="F381" s="188"/>
      <c r="G381" s="188"/>
      <c r="H381" s="188"/>
      <c r="I381" s="188"/>
      <c r="J381" s="188"/>
      <c r="K381" s="188"/>
      <c r="L381" s="188"/>
      <c r="M381" s="188"/>
      <c r="N381" s="188"/>
      <c r="O381" s="188"/>
      <c r="P381" s="188"/>
      <c r="Q381" s="188"/>
      <c r="R381" s="188"/>
      <c r="S381" s="188"/>
      <c r="T381" s="188"/>
      <c r="U381" s="189"/>
    </row>
    <row r="382" spans="2:21" x14ac:dyDescent="0.35">
      <c r="B382" s="186"/>
      <c r="C382" s="163"/>
      <c r="D382" s="188"/>
      <c r="E382" s="188"/>
      <c r="F382" s="188"/>
      <c r="G382" s="188"/>
      <c r="H382" s="188"/>
      <c r="I382" s="188"/>
      <c r="J382" s="188"/>
      <c r="K382" s="188"/>
      <c r="L382" s="188"/>
      <c r="M382" s="188"/>
      <c r="N382" s="188"/>
      <c r="O382" s="188"/>
      <c r="P382" s="188"/>
      <c r="Q382" s="188"/>
      <c r="R382" s="188"/>
      <c r="S382" s="188"/>
      <c r="T382" s="188"/>
      <c r="U382" s="189"/>
    </row>
    <row r="383" spans="2:21" x14ac:dyDescent="0.35">
      <c r="B383" s="186"/>
      <c r="C383" s="163"/>
      <c r="D383" s="188"/>
      <c r="E383" s="188"/>
      <c r="F383" s="188"/>
      <c r="G383" s="188"/>
      <c r="H383" s="188"/>
      <c r="I383" s="188"/>
      <c r="J383" s="188"/>
      <c r="K383" s="188"/>
      <c r="L383" s="188"/>
      <c r="M383" s="188"/>
      <c r="N383" s="188"/>
      <c r="O383" s="188"/>
      <c r="P383" s="188"/>
      <c r="Q383" s="188"/>
      <c r="R383" s="188"/>
      <c r="S383" s="188"/>
      <c r="T383" s="188"/>
      <c r="U383" s="189"/>
    </row>
    <row r="384" spans="2:21" x14ac:dyDescent="0.35">
      <c r="B384" s="186"/>
      <c r="C384" s="163"/>
      <c r="D384" s="188"/>
      <c r="E384" s="188"/>
      <c r="F384" s="188"/>
      <c r="G384" s="188"/>
      <c r="H384" s="188"/>
      <c r="I384" s="188"/>
      <c r="J384" s="188"/>
      <c r="K384" s="188"/>
      <c r="L384" s="188"/>
      <c r="M384" s="188"/>
      <c r="N384" s="188"/>
      <c r="O384" s="188"/>
      <c r="P384" s="188"/>
      <c r="Q384" s="188"/>
      <c r="R384" s="188"/>
      <c r="S384" s="188"/>
      <c r="T384" s="188"/>
      <c r="U384" s="189"/>
    </row>
    <row r="385" spans="2:21" x14ac:dyDescent="0.35">
      <c r="B385" s="186"/>
      <c r="C385" s="163"/>
      <c r="D385" s="188"/>
      <c r="E385" s="188"/>
      <c r="F385" s="188"/>
      <c r="G385" s="188"/>
      <c r="H385" s="188"/>
      <c r="I385" s="188"/>
      <c r="J385" s="188"/>
      <c r="K385" s="188"/>
      <c r="L385" s="188"/>
      <c r="M385" s="188"/>
      <c r="N385" s="188"/>
      <c r="O385" s="188"/>
      <c r="P385" s="188"/>
      <c r="Q385" s="188"/>
      <c r="R385" s="188"/>
      <c r="S385" s="188"/>
      <c r="T385" s="188"/>
      <c r="U385" s="189"/>
    </row>
    <row r="386" spans="2:21" x14ac:dyDescent="0.35">
      <c r="B386" s="186"/>
      <c r="C386" s="163"/>
      <c r="D386" s="188"/>
      <c r="E386" s="188"/>
      <c r="F386" s="188"/>
      <c r="G386" s="188"/>
      <c r="H386" s="188"/>
      <c r="I386" s="188"/>
      <c r="J386" s="188"/>
      <c r="K386" s="188"/>
      <c r="L386" s="188"/>
      <c r="M386" s="188"/>
      <c r="N386" s="188"/>
      <c r="O386" s="188"/>
      <c r="P386" s="188"/>
      <c r="Q386" s="188"/>
      <c r="R386" s="188"/>
      <c r="S386" s="188"/>
      <c r="T386" s="188"/>
      <c r="U386" s="189"/>
    </row>
    <row r="387" spans="2:21" x14ac:dyDescent="0.35">
      <c r="B387" s="186"/>
      <c r="C387" s="163"/>
      <c r="D387" s="188"/>
      <c r="E387" s="188"/>
      <c r="F387" s="188"/>
      <c r="G387" s="188"/>
      <c r="H387" s="188"/>
      <c r="I387" s="188"/>
      <c r="J387" s="188"/>
      <c r="K387" s="188"/>
      <c r="L387" s="188"/>
      <c r="M387" s="188"/>
      <c r="N387" s="188"/>
      <c r="O387" s="188"/>
      <c r="P387" s="188"/>
      <c r="Q387" s="188"/>
      <c r="R387" s="188"/>
      <c r="S387" s="188"/>
      <c r="T387" s="188"/>
      <c r="U387" s="189"/>
    </row>
    <row r="388" spans="2:21" x14ac:dyDescent="0.35">
      <c r="B388" s="186"/>
      <c r="C388" s="163"/>
      <c r="D388" s="188"/>
      <c r="E388" s="188"/>
      <c r="F388" s="188"/>
      <c r="G388" s="188"/>
      <c r="H388" s="188"/>
      <c r="I388" s="188"/>
      <c r="J388" s="188"/>
      <c r="K388" s="188"/>
      <c r="L388" s="188"/>
      <c r="M388" s="188"/>
      <c r="N388" s="188"/>
      <c r="O388" s="188"/>
      <c r="P388" s="188"/>
      <c r="Q388" s="188"/>
      <c r="R388" s="188"/>
      <c r="S388" s="188"/>
      <c r="T388" s="188"/>
      <c r="U388" s="189"/>
    </row>
    <row r="389" spans="2:21" x14ac:dyDescent="0.35">
      <c r="B389" s="186"/>
      <c r="C389" s="163"/>
      <c r="D389" s="188"/>
      <c r="E389" s="188"/>
      <c r="F389" s="188"/>
      <c r="G389" s="188"/>
      <c r="H389" s="188"/>
      <c r="I389" s="188"/>
      <c r="J389" s="188"/>
      <c r="K389" s="188"/>
      <c r="L389" s="188"/>
      <c r="M389" s="188"/>
      <c r="N389" s="188"/>
      <c r="O389" s="188"/>
      <c r="P389" s="188"/>
      <c r="Q389" s="188"/>
      <c r="R389" s="188"/>
      <c r="S389" s="188"/>
      <c r="T389" s="188"/>
      <c r="U389" s="189"/>
    </row>
    <row r="390" spans="2:21" x14ac:dyDescent="0.35">
      <c r="B390" s="186"/>
      <c r="C390" s="163"/>
      <c r="D390" s="188"/>
      <c r="E390" s="188"/>
      <c r="F390" s="188"/>
      <c r="G390" s="188"/>
      <c r="H390" s="188"/>
      <c r="I390" s="188"/>
      <c r="J390" s="188"/>
      <c r="K390" s="188"/>
      <c r="L390" s="188"/>
      <c r="M390" s="188"/>
      <c r="N390" s="188"/>
      <c r="O390" s="188"/>
      <c r="P390" s="188"/>
      <c r="Q390" s="188"/>
      <c r="R390" s="188"/>
      <c r="S390" s="188"/>
      <c r="T390" s="188"/>
      <c r="U390" s="189"/>
    </row>
    <row r="391" spans="2:21" x14ac:dyDescent="0.35">
      <c r="B391" s="186"/>
      <c r="C391" s="163"/>
      <c r="D391" s="188"/>
      <c r="E391" s="188"/>
      <c r="F391" s="188"/>
      <c r="G391" s="188"/>
      <c r="H391" s="188"/>
      <c r="I391" s="188"/>
      <c r="J391" s="188"/>
      <c r="K391" s="188"/>
      <c r="L391" s="188"/>
      <c r="M391" s="188"/>
      <c r="N391" s="188"/>
      <c r="O391" s="188"/>
      <c r="P391" s="188"/>
      <c r="Q391" s="188"/>
      <c r="R391" s="188"/>
      <c r="S391" s="188"/>
      <c r="T391" s="188"/>
      <c r="U391" s="189"/>
    </row>
    <row r="392" spans="2:21" x14ac:dyDescent="0.35">
      <c r="B392" s="186"/>
      <c r="C392" s="163"/>
      <c r="D392" s="188"/>
      <c r="E392" s="188"/>
      <c r="F392" s="188"/>
      <c r="G392" s="188"/>
      <c r="H392" s="188"/>
      <c r="I392" s="188"/>
      <c r="J392" s="188"/>
      <c r="K392" s="188"/>
      <c r="L392" s="188"/>
      <c r="M392" s="188"/>
      <c r="N392" s="188"/>
      <c r="O392" s="188"/>
      <c r="P392" s="188"/>
      <c r="Q392" s="188"/>
      <c r="R392" s="188"/>
      <c r="S392" s="188"/>
      <c r="T392" s="188"/>
      <c r="U392" s="189"/>
    </row>
    <row r="393" spans="2:21" x14ac:dyDescent="0.35">
      <c r="B393" s="186"/>
      <c r="C393" s="163"/>
      <c r="D393" s="188"/>
      <c r="E393" s="188"/>
      <c r="F393" s="188"/>
      <c r="G393" s="188"/>
      <c r="H393" s="188"/>
      <c r="I393" s="188"/>
      <c r="J393" s="188"/>
      <c r="K393" s="188"/>
      <c r="L393" s="188"/>
      <c r="M393" s="188"/>
      <c r="N393" s="188"/>
      <c r="O393" s="188"/>
      <c r="P393" s="188"/>
      <c r="Q393" s="188"/>
      <c r="R393" s="188"/>
      <c r="S393" s="188"/>
      <c r="T393" s="188"/>
      <c r="U393" s="189"/>
    </row>
    <row r="394" spans="2:21" x14ac:dyDescent="0.35">
      <c r="B394" s="186"/>
      <c r="C394" s="163"/>
      <c r="D394" s="188"/>
      <c r="E394" s="188"/>
      <c r="F394" s="188"/>
      <c r="G394" s="188"/>
      <c r="H394" s="188"/>
      <c r="I394" s="188"/>
      <c r="J394" s="188"/>
      <c r="K394" s="188"/>
      <c r="L394" s="188"/>
      <c r="M394" s="188"/>
      <c r="N394" s="188"/>
      <c r="O394" s="188"/>
      <c r="P394" s="188"/>
      <c r="Q394" s="188"/>
      <c r="R394" s="188"/>
      <c r="S394" s="188"/>
      <c r="T394" s="188"/>
      <c r="U394" s="189"/>
    </row>
    <row r="395" spans="2:21" x14ac:dyDescent="0.35">
      <c r="B395" s="186"/>
      <c r="C395" s="163"/>
      <c r="D395" s="188"/>
      <c r="E395" s="188"/>
      <c r="F395" s="188"/>
      <c r="G395" s="188"/>
      <c r="H395" s="188"/>
      <c r="I395" s="188"/>
      <c r="J395" s="188"/>
      <c r="K395" s="188"/>
      <c r="L395" s="188"/>
      <c r="M395" s="188"/>
      <c r="N395" s="188"/>
      <c r="O395" s="188"/>
      <c r="P395" s="188"/>
      <c r="Q395" s="188"/>
      <c r="R395" s="188"/>
      <c r="S395" s="188"/>
      <c r="T395" s="188"/>
      <c r="U395" s="189"/>
    </row>
    <row r="396" spans="2:21" x14ac:dyDescent="0.35">
      <c r="B396" s="186"/>
      <c r="C396" s="163"/>
      <c r="D396" s="188"/>
      <c r="E396" s="188"/>
      <c r="F396" s="188"/>
      <c r="G396" s="188"/>
      <c r="H396" s="188"/>
      <c r="I396" s="188"/>
      <c r="J396" s="188"/>
      <c r="K396" s="188"/>
      <c r="L396" s="188"/>
      <c r="M396" s="188"/>
      <c r="N396" s="188"/>
      <c r="O396" s="188"/>
      <c r="P396" s="188"/>
      <c r="Q396" s="188"/>
      <c r="R396" s="188"/>
      <c r="S396" s="188"/>
      <c r="T396" s="188"/>
      <c r="U396" s="189"/>
    </row>
    <row r="397" spans="2:21" x14ac:dyDescent="0.35">
      <c r="B397" s="186"/>
      <c r="C397" s="163"/>
      <c r="D397" s="188"/>
      <c r="E397" s="188"/>
      <c r="F397" s="188"/>
      <c r="G397" s="188"/>
      <c r="H397" s="188"/>
      <c r="I397" s="188"/>
      <c r="J397" s="188"/>
      <c r="K397" s="188"/>
      <c r="L397" s="188"/>
      <c r="M397" s="188"/>
      <c r="N397" s="188"/>
      <c r="O397" s="188"/>
      <c r="P397" s="188"/>
      <c r="Q397" s="188"/>
      <c r="R397" s="188"/>
      <c r="S397" s="188"/>
      <c r="T397" s="188"/>
      <c r="U397" s="189"/>
    </row>
    <row r="398" spans="2:21" x14ac:dyDescent="0.35">
      <c r="B398" s="186"/>
      <c r="C398" s="163"/>
      <c r="D398" s="188"/>
      <c r="E398" s="188"/>
      <c r="F398" s="188"/>
      <c r="G398" s="188"/>
      <c r="H398" s="188"/>
      <c r="I398" s="188"/>
      <c r="J398" s="188"/>
      <c r="K398" s="188"/>
      <c r="L398" s="188"/>
      <c r="M398" s="188"/>
      <c r="N398" s="188"/>
      <c r="O398" s="188"/>
      <c r="P398" s="188"/>
      <c r="Q398" s="188"/>
      <c r="R398" s="188"/>
      <c r="S398" s="188"/>
      <c r="T398" s="188"/>
      <c r="U398" s="189"/>
    </row>
    <row r="399" spans="2:21" x14ac:dyDescent="0.35">
      <c r="B399" s="186"/>
      <c r="C399" s="163"/>
      <c r="D399" s="188"/>
      <c r="E399" s="188"/>
      <c r="F399" s="188"/>
      <c r="G399" s="188"/>
      <c r="H399" s="188"/>
      <c r="I399" s="188"/>
      <c r="J399" s="188"/>
      <c r="K399" s="188"/>
      <c r="L399" s="188"/>
      <c r="M399" s="188"/>
      <c r="N399" s="188"/>
      <c r="O399" s="188"/>
      <c r="P399" s="188"/>
      <c r="Q399" s="188"/>
      <c r="R399" s="188"/>
      <c r="S399" s="188"/>
      <c r="T399" s="188"/>
      <c r="U399" s="189"/>
    </row>
    <row r="400" spans="2:21" x14ac:dyDescent="0.35">
      <c r="B400" s="186"/>
      <c r="C400" s="163"/>
      <c r="D400" s="188"/>
      <c r="E400" s="188"/>
      <c r="F400" s="188"/>
      <c r="G400" s="188"/>
      <c r="H400" s="188"/>
      <c r="I400" s="188"/>
      <c r="J400" s="188"/>
      <c r="K400" s="188"/>
      <c r="L400" s="188"/>
      <c r="M400" s="188"/>
      <c r="N400" s="188"/>
      <c r="O400" s="188"/>
      <c r="P400" s="188"/>
      <c r="Q400" s="188"/>
      <c r="R400" s="188"/>
      <c r="S400" s="188"/>
      <c r="T400" s="188"/>
      <c r="U400" s="189"/>
    </row>
    <row r="401" spans="2:21" x14ac:dyDescent="0.35">
      <c r="B401" s="186"/>
      <c r="C401" s="163"/>
      <c r="D401" s="188"/>
      <c r="E401" s="188"/>
      <c r="F401" s="188"/>
      <c r="G401" s="188"/>
      <c r="H401" s="188"/>
      <c r="I401" s="188"/>
      <c r="J401" s="188"/>
      <c r="K401" s="188"/>
      <c r="L401" s="188"/>
      <c r="M401" s="188"/>
      <c r="N401" s="188"/>
      <c r="O401" s="188"/>
      <c r="P401" s="188"/>
      <c r="Q401" s="188"/>
      <c r="R401" s="188"/>
      <c r="S401" s="188"/>
      <c r="T401" s="188"/>
      <c r="U401" s="189"/>
    </row>
    <row r="402" spans="2:21" x14ac:dyDescent="0.35">
      <c r="B402" s="186"/>
      <c r="C402" s="163"/>
      <c r="D402" s="188"/>
      <c r="E402" s="188"/>
      <c r="F402" s="188"/>
      <c r="G402" s="188"/>
      <c r="H402" s="188"/>
      <c r="I402" s="188"/>
      <c r="J402" s="188"/>
      <c r="K402" s="188"/>
      <c r="L402" s="188"/>
      <c r="M402" s="188"/>
      <c r="N402" s="188"/>
      <c r="O402" s="188"/>
      <c r="P402" s="188"/>
      <c r="Q402" s="188"/>
      <c r="R402" s="188"/>
      <c r="S402" s="188"/>
      <c r="T402" s="188"/>
      <c r="U402" s="189"/>
    </row>
    <row r="403" spans="2:21" x14ac:dyDescent="0.35">
      <c r="B403" s="186"/>
      <c r="C403" s="163"/>
      <c r="D403" s="188"/>
      <c r="E403" s="188"/>
      <c r="F403" s="188"/>
      <c r="G403" s="188"/>
      <c r="H403" s="188"/>
      <c r="I403" s="188"/>
      <c r="J403" s="188"/>
      <c r="K403" s="188"/>
      <c r="L403" s="188"/>
      <c r="M403" s="188"/>
      <c r="N403" s="188"/>
      <c r="O403" s="188"/>
      <c r="P403" s="188"/>
      <c r="Q403" s="188"/>
      <c r="R403" s="188"/>
      <c r="S403" s="188"/>
      <c r="T403" s="188"/>
      <c r="U403" s="189"/>
    </row>
    <row r="404" spans="2:21" x14ac:dyDescent="0.35">
      <c r="B404" s="186"/>
      <c r="C404" s="163"/>
      <c r="D404" s="188"/>
      <c r="E404" s="188"/>
      <c r="F404" s="188"/>
      <c r="G404" s="188"/>
      <c r="H404" s="188"/>
      <c r="I404" s="188"/>
      <c r="J404" s="188"/>
      <c r="K404" s="188"/>
      <c r="L404" s="188"/>
      <c r="M404" s="188"/>
      <c r="N404" s="188"/>
      <c r="O404" s="188"/>
      <c r="P404" s="188"/>
      <c r="Q404" s="188"/>
      <c r="R404" s="188"/>
      <c r="S404" s="188"/>
      <c r="T404" s="188"/>
      <c r="U404" s="189"/>
    </row>
    <row r="405" spans="2:21" x14ac:dyDescent="0.35">
      <c r="B405" s="186"/>
      <c r="C405" s="163"/>
      <c r="D405" s="188"/>
      <c r="E405" s="188"/>
      <c r="F405" s="188"/>
      <c r="G405" s="188"/>
      <c r="H405" s="188"/>
      <c r="I405" s="188"/>
      <c r="J405" s="188"/>
      <c r="K405" s="188"/>
      <c r="L405" s="188"/>
      <c r="M405" s="188"/>
      <c r="N405" s="188"/>
      <c r="O405" s="188"/>
      <c r="P405" s="188"/>
      <c r="Q405" s="188"/>
      <c r="R405" s="188"/>
      <c r="S405" s="188"/>
      <c r="T405" s="188"/>
      <c r="U405" s="189"/>
    </row>
    <row r="406" spans="2:21" x14ac:dyDescent="0.35">
      <c r="B406" s="186"/>
      <c r="C406" s="163"/>
      <c r="D406" s="188"/>
      <c r="E406" s="188"/>
      <c r="F406" s="188"/>
      <c r="G406" s="188"/>
      <c r="H406" s="188"/>
      <c r="I406" s="188"/>
      <c r="J406" s="188"/>
      <c r="K406" s="188"/>
      <c r="L406" s="188"/>
      <c r="M406" s="188"/>
      <c r="N406" s="188"/>
      <c r="O406" s="188"/>
      <c r="P406" s="188"/>
      <c r="Q406" s="188"/>
      <c r="R406" s="188"/>
      <c r="S406" s="188"/>
      <c r="T406" s="188"/>
      <c r="U406" s="189"/>
    </row>
    <row r="407" spans="2:21" x14ac:dyDescent="0.35">
      <c r="B407" s="186"/>
      <c r="C407" s="163"/>
      <c r="D407" s="188"/>
      <c r="E407" s="188"/>
      <c r="F407" s="188"/>
      <c r="G407" s="188"/>
      <c r="H407" s="188"/>
      <c r="I407" s="188"/>
      <c r="J407" s="188"/>
      <c r="K407" s="188"/>
      <c r="L407" s="188"/>
      <c r="M407" s="188"/>
      <c r="N407" s="188"/>
      <c r="O407" s="188"/>
      <c r="P407" s="188"/>
      <c r="Q407" s="188"/>
      <c r="R407" s="188"/>
      <c r="S407" s="188"/>
      <c r="T407" s="188"/>
      <c r="U407" s="189"/>
    </row>
    <row r="408" spans="2:21" x14ac:dyDescent="0.35">
      <c r="B408" s="186"/>
      <c r="C408" s="163"/>
      <c r="D408" s="188"/>
      <c r="E408" s="188"/>
      <c r="F408" s="188"/>
      <c r="G408" s="188"/>
      <c r="H408" s="188"/>
      <c r="I408" s="188"/>
      <c r="J408" s="188"/>
      <c r="K408" s="188"/>
      <c r="L408" s="188"/>
      <c r="M408" s="188"/>
      <c r="N408" s="188"/>
      <c r="O408" s="188"/>
      <c r="P408" s="188"/>
      <c r="Q408" s="188"/>
      <c r="R408" s="188"/>
      <c r="S408" s="188"/>
      <c r="T408" s="188"/>
      <c r="U408" s="189"/>
    </row>
    <row r="409" spans="2:21" x14ac:dyDescent="0.35">
      <c r="B409" s="186"/>
      <c r="C409" s="163"/>
      <c r="D409" s="188"/>
      <c r="E409" s="188"/>
      <c r="F409" s="188"/>
      <c r="G409" s="188"/>
      <c r="H409" s="188"/>
      <c r="I409" s="188"/>
      <c r="J409" s="188"/>
      <c r="K409" s="188"/>
      <c r="L409" s="188"/>
      <c r="M409" s="188"/>
      <c r="N409" s="188"/>
      <c r="O409" s="188"/>
      <c r="P409" s="188"/>
      <c r="Q409" s="188"/>
      <c r="R409" s="188"/>
      <c r="S409" s="188"/>
      <c r="T409" s="188"/>
      <c r="U409" s="189"/>
    </row>
    <row r="410" spans="2:21" x14ac:dyDescent="0.35">
      <c r="B410" s="186"/>
      <c r="C410" s="163"/>
      <c r="D410" s="188"/>
      <c r="E410" s="188"/>
      <c r="F410" s="188"/>
      <c r="G410" s="188"/>
      <c r="H410" s="188"/>
      <c r="I410" s="188"/>
      <c r="J410" s="188"/>
      <c r="K410" s="188"/>
      <c r="L410" s="188"/>
      <c r="M410" s="188"/>
      <c r="N410" s="188"/>
      <c r="O410" s="188"/>
      <c r="P410" s="188"/>
      <c r="Q410" s="188"/>
      <c r="R410" s="188"/>
      <c r="S410" s="188"/>
      <c r="T410" s="188"/>
      <c r="U410" s="189"/>
    </row>
    <row r="411" spans="2:21" x14ac:dyDescent="0.35">
      <c r="B411" s="186"/>
      <c r="C411" s="163"/>
      <c r="D411" s="188"/>
      <c r="E411" s="188"/>
      <c r="F411" s="188"/>
      <c r="G411" s="188"/>
      <c r="H411" s="188"/>
      <c r="I411" s="188"/>
      <c r="J411" s="188"/>
      <c r="K411" s="188"/>
      <c r="L411" s="188"/>
      <c r="M411" s="188"/>
      <c r="N411" s="188"/>
      <c r="O411" s="188"/>
      <c r="P411" s="188"/>
      <c r="Q411" s="188"/>
      <c r="R411" s="188"/>
      <c r="S411" s="188"/>
      <c r="T411" s="188"/>
      <c r="U411" s="189"/>
    </row>
    <row r="412" spans="2:21" x14ac:dyDescent="0.35">
      <c r="B412" s="186"/>
      <c r="C412" s="163"/>
      <c r="D412" s="188"/>
      <c r="E412" s="188"/>
      <c r="F412" s="188"/>
      <c r="G412" s="188"/>
      <c r="H412" s="188"/>
      <c r="I412" s="188"/>
      <c r="J412" s="188"/>
      <c r="K412" s="188"/>
      <c r="L412" s="188"/>
      <c r="M412" s="188"/>
      <c r="N412" s="188"/>
      <c r="O412" s="188"/>
      <c r="P412" s="188"/>
      <c r="Q412" s="188"/>
      <c r="R412" s="188"/>
      <c r="S412" s="188"/>
      <c r="T412" s="188"/>
      <c r="U412" s="189"/>
    </row>
    <row r="413" spans="2:21" x14ac:dyDescent="0.35">
      <c r="B413" s="186"/>
      <c r="C413" s="163"/>
      <c r="D413" s="188"/>
      <c r="E413" s="188"/>
      <c r="F413" s="188"/>
      <c r="G413" s="188"/>
      <c r="H413" s="188"/>
      <c r="I413" s="188"/>
      <c r="J413" s="188"/>
      <c r="K413" s="188"/>
      <c r="L413" s="188"/>
      <c r="M413" s="188"/>
      <c r="N413" s="188"/>
      <c r="O413" s="188"/>
      <c r="P413" s="188"/>
      <c r="Q413" s="188"/>
      <c r="R413" s="188"/>
      <c r="S413" s="188"/>
      <c r="T413" s="188"/>
      <c r="U413" s="189"/>
    </row>
    <row r="414" spans="2:21" x14ac:dyDescent="0.35">
      <c r="B414" s="186"/>
      <c r="C414" s="163"/>
      <c r="D414" s="188"/>
      <c r="E414" s="188"/>
      <c r="F414" s="188"/>
      <c r="G414" s="188"/>
      <c r="H414" s="188"/>
      <c r="I414" s="188"/>
      <c r="J414" s="188"/>
      <c r="K414" s="188"/>
      <c r="L414" s="188"/>
      <c r="M414" s="188"/>
      <c r="N414" s="188"/>
      <c r="O414" s="188"/>
      <c r="P414" s="188"/>
      <c r="Q414" s="188"/>
      <c r="R414" s="188"/>
      <c r="S414" s="188"/>
      <c r="T414" s="188"/>
      <c r="U414" s="189"/>
    </row>
    <row r="415" spans="2:21" x14ac:dyDescent="0.35">
      <c r="B415" s="186"/>
      <c r="C415" s="163"/>
      <c r="D415" s="188"/>
      <c r="E415" s="188"/>
      <c r="F415" s="188"/>
      <c r="G415" s="188"/>
      <c r="H415" s="188"/>
      <c r="I415" s="188"/>
      <c r="J415" s="188"/>
      <c r="K415" s="188"/>
      <c r="L415" s="188"/>
      <c r="M415" s="188"/>
      <c r="N415" s="188"/>
      <c r="O415" s="188"/>
      <c r="P415" s="188"/>
      <c r="Q415" s="188"/>
      <c r="R415" s="188"/>
      <c r="S415" s="188"/>
      <c r="T415" s="188"/>
      <c r="U415" s="189"/>
    </row>
    <row r="416" spans="2:21" x14ac:dyDescent="0.35">
      <c r="B416" s="186"/>
      <c r="C416" s="163"/>
      <c r="D416" s="188"/>
      <c r="E416" s="188"/>
      <c r="F416" s="188"/>
      <c r="G416" s="188"/>
      <c r="H416" s="188"/>
      <c r="I416" s="188"/>
      <c r="J416" s="188"/>
      <c r="K416" s="188"/>
      <c r="L416" s="188"/>
      <c r="M416" s="188"/>
      <c r="N416" s="188"/>
      <c r="O416" s="188"/>
      <c r="P416" s="188"/>
      <c r="Q416" s="188"/>
      <c r="R416" s="188"/>
      <c r="S416" s="188"/>
      <c r="T416" s="188"/>
      <c r="U416" s="189"/>
    </row>
    <row r="417" spans="2:21" x14ac:dyDescent="0.35">
      <c r="B417" s="186"/>
      <c r="C417" s="163"/>
      <c r="D417" s="188"/>
      <c r="E417" s="188"/>
      <c r="F417" s="188"/>
      <c r="G417" s="188"/>
      <c r="H417" s="188"/>
      <c r="I417" s="188"/>
      <c r="J417" s="188"/>
      <c r="K417" s="188"/>
      <c r="L417" s="188"/>
      <c r="M417" s="188"/>
      <c r="N417" s="188"/>
      <c r="O417" s="188"/>
      <c r="P417" s="188"/>
      <c r="Q417" s="188"/>
      <c r="R417" s="188"/>
      <c r="S417" s="188"/>
      <c r="T417" s="188"/>
      <c r="U417" s="189"/>
    </row>
    <row r="418" spans="2:21" x14ac:dyDescent="0.35">
      <c r="B418" s="186"/>
      <c r="C418" s="163"/>
      <c r="D418" s="188"/>
      <c r="E418" s="188"/>
      <c r="F418" s="188"/>
      <c r="G418" s="188"/>
      <c r="H418" s="188"/>
      <c r="I418" s="188"/>
      <c r="J418" s="188"/>
      <c r="K418" s="188"/>
      <c r="L418" s="188"/>
      <c r="M418" s="188"/>
      <c r="N418" s="188"/>
      <c r="O418" s="188"/>
      <c r="P418" s="188"/>
      <c r="Q418" s="188"/>
      <c r="R418" s="188"/>
      <c r="S418" s="188"/>
      <c r="T418" s="188"/>
      <c r="U418" s="189"/>
    </row>
    <row r="419" spans="2:21" x14ac:dyDescent="0.35">
      <c r="B419" s="186"/>
      <c r="C419" s="163"/>
      <c r="D419" s="188"/>
      <c r="E419" s="188"/>
      <c r="F419" s="188"/>
      <c r="G419" s="188"/>
      <c r="H419" s="188"/>
      <c r="I419" s="188"/>
      <c r="J419" s="188"/>
      <c r="K419" s="188"/>
      <c r="L419" s="188"/>
      <c r="M419" s="188"/>
      <c r="N419" s="188"/>
      <c r="O419" s="188"/>
      <c r="P419" s="188"/>
      <c r="Q419" s="188"/>
      <c r="R419" s="188"/>
      <c r="S419" s="188"/>
      <c r="T419" s="188"/>
      <c r="U419" s="189"/>
    </row>
    <row r="420" spans="2:21" x14ac:dyDescent="0.35">
      <c r="B420" s="186"/>
      <c r="C420" s="163"/>
      <c r="D420" s="188"/>
      <c r="E420" s="188"/>
      <c r="F420" s="188"/>
      <c r="G420" s="188"/>
      <c r="H420" s="188"/>
      <c r="I420" s="188"/>
      <c r="J420" s="188"/>
      <c r="K420" s="188"/>
      <c r="L420" s="188"/>
      <c r="M420" s="188"/>
      <c r="N420" s="188"/>
      <c r="O420" s="188"/>
      <c r="P420" s="188"/>
      <c r="Q420" s="188"/>
      <c r="R420" s="188"/>
      <c r="S420" s="188"/>
      <c r="T420" s="188"/>
      <c r="U420" s="189"/>
    </row>
    <row r="421" spans="2:21" x14ac:dyDescent="0.35">
      <c r="B421" s="186"/>
      <c r="C421" s="163"/>
      <c r="D421" s="188"/>
      <c r="E421" s="188"/>
      <c r="F421" s="188"/>
      <c r="G421" s="188"/>
      <c r="H421" s="188"/>
      <c r="I421" s="188"/>
      <c r="J421" s="188"/>
      <c r="K421" s="188"/>
      <c r="L421" s="188"/>
      <c r="M421" s="188"/>
      <c r="N421" s="188"/>
      <c r="O421" s="188"/>
      <c r="P421" s="188"/>
      <c r="Q421" s="188"/>
      <c r="R421" s="188"/>
      <c r="S421" s="188"/>
      <c r="T421" s="188"/>
      <c r="U421" s="189"/>
    </row>
    <row r="422" spans="2:21" x14ac:dyDescent="0.35">
      <c r="B422" s="186"/>
      <c r="C422" s="163"/>
      <c r="D422" s="188"/>
      <c r="E422" s="188"/>
      <c r="F422" s="188"/>
      <c r="G422" s="188"/>
      <c r="H422" s="188"/>
      <c r="I422" s="188"/>
      <c r="J422" s="188"/>
      <c r="K422" s="188"/>
      <c r="L422" s="188"/>
      <c r="M422" s="188"/>
      <c r="N422" s="188"/>
      <c r="O422" s="188"/>
      <c r="P422" s="188"/>
      <c r="Q422" s="188"/>
      <c r="R422" s="188"/>
      <c r="S422" s="188"/>
      <c r="T422" s="188"/>
      <c r="U422" s="189"/>
    </row>
    <row r="423" spans="2:21" x14ac:dyDescent="0.35">
      <c r="B423" s="186"/>
      <c r="C423" s="163"/>
      <c r="D423" s="188"/>
      <c r="E423" s="188"/>
      <c r="F423" s="188"/>
      <c r="G423" s="188"/>
      <c r="H423" s="188"/>
      <c r="I423" s="188"/>
      <c r="J423" s="188"/>
      <c r="K423" s="188"/>
      <c r="L423" s="188"/>
      <c r="M423" s="188"/>
      <c r="N423" s="188"/>
      <c r="O423" s="188"/>
      <c r="P423" s="188"/>
      <c r="Q423" s="188"/>
      <c r="R423" s="188"/>
      <c r="S423" s="188"/>
      <c r="T423" s="188"/>
      <c r="U423" s="189"/>
    </row>
    <row r="424" spans="2:21" x14ac:dyDescent="0.35">
      <c r="B424" s="186"/>
      <c r="C424" s="163"/>
      <c r="D424" s="188"/>
      <c r="E424" s="188"/>
      <c r="F424" s="188"/>
      <c r="G424" s="188"/>
      <c r="H424" s="188"/>
      <c r="I424" s="188"/>
      <c r="J424" s="188"/>
      <c r="K424" s="188"/>
      <c r="L424" s="188"/>
      <c r="M424" s="188"/>
      <c r="N424" s="188"/>
      <c r="O424" s="188"/>
      <c r="P424" s="188"/>
      <c r="Q424" s="188"/>
      <c r="R424" s="188"/>
      <c r="S424" s="188"/>
      <c r="T424" s="188"/>
      <c r="U424" s="189"/>
    </row>
    <row r="425" spans="2:21" x14ac:dyDescent="0.35">
      <c r="B425" s="186"/>
      <c r="C425" s="163"/>
      <c r="D425" s="188"/>
      <c r="E425" s="188"/>
      <c r="F425" s="188"/>
      <c r="G425" s="188"/>
      <c r="H425" s="188"/>
      <c r="I425" s="188"/>
      <c r="J425" s="188"/>
      <c r="K425" s="188"/>
      <c r="L425" s="188"/>
      <c r="M425" s="188"/>
      <c r="N425" s="188"/>
      <c r="O425" s="188"/>
      <c r="P425" s="188"/>
      <c r="Q425" s="188"/>
      <c r="R425" s="188"/>
      <c r="S425" s="188"/>
      <c r="T425" s="188"/>
      <c r="U425" s="189"/>
    </row>
    <row r="426" spans="2:21" x14ac:dyDescent="0.35">
      <c r="B426" s="186"/>
      <c r="C426" s="163"/>
      <c r="D426" s="188"/>
      <c r="E426" s="188"/>
      <c r="F426" s="188"/>
      <c r="G426" s="188"/>
      <c r="H426" s="188"/>
      <c r="I426" s="188"/>
      <c r="J426" s="188"/>
      <c r="K426" s="188"/>
      <c r="L426" s="188"/>
      <c r="M426" s="188"/>
      <c r="N426" s="188"/>
      <c r="O426" s="188"/>
      <c r="P426" s="188"/>
      <c r="Q426" s="188"/>
      <c r="R426" s="188"/>
      <c r="S426" s="188"/>
      <c r="T426" s="188"/>
      <c r="U426" s="189"/>
    </row>
    <row r="427" spans="2:21" x14ac:dyDescent="0.35">
      <c r="B427" s="186"/>
      <c r="C427" s="163"/>
      <c r="D427" s="188"/>
      <c r="E427" s="188"/>
      <c r="F427" s="188"/>
      <c r="G427" s="188"/>
      <c r="H427" s="188"/>
      <c r="I427" s="188"/>
      <c r="J427" s="188"/>
      <c r="K427" s="188"/>
      <c r="L427" s="188"/>
      <c r="M427" s="188"/>
      <c r="N427" s="188"/>
      <c r="O427" s="188"/>
      <c r="P427" s="188"/>
      <c r="Q427" s="188"/>
      <c r="R427" s="188"/>
      <c r="S427" s="188"/>
      <c r="T427" s="188"/>
      <c r="U427" s="189"/>
    </row>
    <row r="428" spans="2:21" x14ac:dyDescent="0.35">
      <c r="B428" s="186"/>
      <c r="C428" s="163"/>
      <c r="D428" s="188"/>
      <c r="E428" s="188"/>
      <c r="F428" s="188"/>
      <c r="G428" s="188"/>
      <c r="H428" s="188"/>
      <c r="I428" s="188"/>
      <c r="J428" s="188"/>
      <c r="K428" s="188"/>
      <c r="L428" s="188"/>
      <c r="M428" s="188"/>
      <c r="N428" s="188"/>
      <c r="O428" s="188"/>
      <c r="P428" s="188"/>
      <c r="Q428" s="188"/>
      <c r="R428" s="188"/>
      <c r="S428" s="188"/>
      <c r="T428" s="188"/>
      <c r="U428" s="189"/>
    </row>
    <row r="429" spans="2:21" x14ac:dyDescent="0.35">
      <c r="B429" s="186"/>
      <c r="C429" s="163"/>
      <c r="D429" s="188"/>
      <c r="E429" s="188"/>
      <c r="F429" s="188"/>
      <c r="G429" s="188"/>
      <c r="H429" s="188"/>
      <c r="I429" s="188"/>
      <c r="J429" s="188"/>
      <c r="K429" s="188"/>
      <c r="L429" s="188"/>
      <c r="M429" s="188"/>
      <c r="N429" s="188"/>
      <c r="O429" s="188"/>
      <c r="P429" s="188"/>
      <c r="Q429" s="188"/>
      <c r="R429" s="188"/>
      <c r="S429" s="188"/>
      <c r="T429" s="188"/>
      <c r="U429" s="189"/>
    </row>
    <row r="430" spans="2:21" x14ac:dyDescent="0.35">
      <c r="B430" s="186"/>
      <c r="C430" s="163"/>
      <c r="D430" s="188"/>
      <c r="E430" s="188"/>
      <c r="F430" s="188"/>
      <c r="G430" s="188"/>
      <c r="H430" s="188"/>
      <c r="I430" s="188"/>
      <c r="J430" s="188"/>
      <c r="K430" s="188"/>
      <c r="L430" s="188"/>
      <c r="M430" s="188"/>
      <c r="N430" s="188"/>
      <c r="O430" s="188"/>
      <c r="P430" s="188"/>
      <c r="Q430" s="188"/>
      <c r="R430" s="188"/>
      <c r="S430" s="188"/>
      <c r="T430" s="188"/>
      <c r="U430" s="189"/>
    </row>
    <row r="431" spans="2:21" x14ac:dyDescent="0.35">
      <c r="B431" s="186"/>
      <c r="C431" s="163"/>
      <c r="D431" s="188"/>
      <c r="E431" s="188"/>
      <c r="F431" s="188"/>
      <c r="G431" s="188"/>
      <c r="H431" s="188"/>
      <c r="I431" s="188"/>
      <c r="J431" s="188"/>
      <c r="K431" s="188"/>
      <c r="L431" s="188"/>
      <c r="M431" s="188"/>
      <c r="N431" s="188"/>
      <c r="O431" s="188"/>
      <c r="P431" s="188"/>
      <c r="Q431" s="188"/>
      <c r="R431" s="188"/>
      <c r="S431" s="188"/>
      <c r="T431" s="188"/>
      <c r="U431" s="189"/>
    </row>
    <row r="432" spans="2:21" x14ac:dyDescent="0.35">
      <c r="B432" s="186"/>
      <c r="C432" s="163"/>
      <c r="D432" s="188"/>
      <c r="E432" s="188"/>
      <c r="F432" s="188"/>
      <c r="G432" s="188"/>
      <c r="H432" s="188"/>
      <c r="I432" s="188"/>
      <c r="J432" s="188"/>
      <c r="K432" s="188"/>
      <c r="L432" s="188"/>
      <c r="M432" s="188"/>
      <c r="N432" s="188"/>
      <c r="O432" s="188"/>
      <c r="P432" s="188"/>
      <c r="Q432" s="188"/>
      <c r="R432" s="188"/>
      <c r="S432" s="188"/>
      <c r="T432" s="188"/>
      <c r="U432" s="189"/>
    </row>
    <row r="433" spans="2:21" x14ac:dyDescent="0.35">
      <c r="B433" s="186"/>
      <c r="C433" s="163"/>
      <c r="D433" s="188"/>
      <c r="E433" s="188"/>
      <c r="F433" s="188"/>
      <c r="G433" s="188"/>
      <c r="H433" s="188"/>
      <c r="I433" s="188"/>
      <c r="J433" s="188"/>
      <c r="K433" s="188"/>
      <c r="L433" s="188"/>
      <c r="M433" s="188"/>
      <c r="N433" s="188"/>
      <c r="O433" s="188"/>
      <c r="P433" s="188"/>
      <c r="Q433" s="188"/>
      <c r="R433" s="188"/>
      <c r="S433" s="188"/>
      <c r="T433" s="188"/>
      <c r="U433" s="189"/>
    </row>
    <row r="434" spans="2:21" x14ac:dyDescent="0.35">
      <c r="B434" s="186"/>
      <c r="C434" s="163"/>
      <c r="D434" s="188"/>
      <c r="E434" s="188"/>
      <c r="F434" s="188"/>
      <c r="G434" s="188"/>
      <c r="H434" s="188"/>
      <c r="I434" s="188"/>
      <c r="J434" s="188"/>
      <c r="K434" s="188"/>
      <c r="L434" s="188"/>
      <c r="M434" s="188"/>
      <c r="N434" s="188"/>
      <c r="O434" s="188"/>
      <c r="P434" s="188"/>
      <c r="Q434" s="188"/>
      <c r="R434" s="188"/>
      <c r="S434" s="188"/>
      <c r="T434" s="188"/>
      <c r="U434" s="189"/>
    </row>
    <row r="435" spans="2:21" x14ac:dyDescent="0.35">
      <c r="B435" s="186"/>
      <c r="C435" s="163"/>
      <c r="D435" s="188"/>
      <c r="E435" s="188"/>
      <c r="F435" s="188"/>
      <c r="G435" s="188"/>
      <c r="H435" s="188"/>
      <c r="I435" s="188"/>
      <c r="J435" s="188"/>
      <c r="K435" s="188"/>
      <c r="L435" s="188"/>
      <c r="M435" s="188"/>
      <c r="N435" s="188"/>
      <c r="O435" s="188"/>
      <c r="P435" s="188"/>
      <c r="Q435" s="188"/>
      <c r="R435" s="188"/>
      <c r="S435" s="188"/>
      <c r="T435" s="188"/>
      <c r="U435" s="189"/>
    </row>
    <row r="436" spans="2:21" x14ac:dyDescent="0.35">
      <c r="B436" s="186"/>
      <c r="C436" s="163"/>
      <c r="D436" s="188"/>
      <c r="E436" s="188"/>
      <c r="F436" s="188"/>
      <c r="G436" s="188"/>
      <c r="H436" s="188"/>
      <c r="I436" s="188"/>
      <c r="J436" s="188"/>
      <c r="K436" s="188"/>
      <c r="L436" s="188"/>
      <c r="M436" s="188"/>
      <c r="N436" s="188"/>
      <c r="O436" s="188"/>
      <c r="P436" s="188"/>
      <c r="Q436" s="188"/>
      <c r="R436" s="188"/>
      <c r="S436" s="188"/>
      <c r="T436" s="188"/>
      <c r="U436" s="189"/>
    </row>
    <row r="437" spans="2:21" x14ac:dyDescent="0.35">
      <c r="B437" s="186"/>
      <c r="C437" s="163"/>
      <c r="D437" s="188"/>
      <c r="E437" s="188"/>
      <c r="F437" s="188"/>
      <c r="G437" s="188"/>
      <c r="H437" s="188"/>
      <c r="I437" s="188"/>
      <c r="J437" s="188"/>
      <c r="K437" s="188"/>
      <c r="L437" s="188"/>
      <c r="M437" s="188"/>
      <c r="N437" s="188"/>
      <c r="O437" s="188"/>
      <c r="P437" s="188"/>
      <c r="Q437" s="188"/>
      <c r="R437" s="188"/>
      <c r="S437" s="188"/>
      <c r="T437" s="188"/>
      <c r="U437" s="189"/>
    </row>
    <row r="438" spans="2:21" x14ac:dyDescent="0.35">
      <c r="B438" s="186"/>
      <c r="C438" s="163"/>
      <c r="D438" s="188"/>
      <c r="E438" s="188"/>
      <c r="F438" s="188"/>
      <c r="G438" s="188"/>
      <c r="H438" s="188"/>
      <c r="I438" s="188"/>
      <c r="J438" s="188"/>
      <c r="K438" s="188"/>
      <c r="L438" s="188"/>
      <c r="M438" s="188"/>
      <c r="N438" s="188"/>
      <c r="O438" s="188"/>
      <c r="P438" s="188"/>
      <c r="Q438" s="188"/>
      <c r="R438" s="188"/>
      <c r="S438" s="188"/>
      <c r="T438" s="188"/>
      <c r="U438" s="189"/>
    </row>
    <row r="439" spans="2:21" x14ac:dyDescent="0.35">
      <c r="B439" s="186"/>
      <c r="C439" s="163"/>
      <c r="D439" s="188"/>
      <c r="E439" s="188"/>
      <c r="F439" s="188"/>
      <c r="G439" s="188"/>
      <c r="H439" s="188"/>
      <c r="I439" s="188"/>
      <c r="J439" s="188"/>
      <c r="K439" s="188"/>
      <c r="L439" s="188"/>
      <c r="M439" s="188"/>
      <c r="N439" s="188"/>
      <c r="O439" s="188"/>
      <c r="P439" s="188"/>
      <c r="Q439" s="188"/>
      <c r="R439" s="188"/>
      <c r="S439" s="188"/>
      <c r="T439" s="188"/>
      <c r="U439" s="189"/>
    </row>
    <row r="440" spans="2:21" x14ac:dyDescent="0.35">
      <c r="B440" s="186"/>
      <c r="C440" s="163"/>
      <c r="D440" s="188"/>
      <c r="E440" s="188"/>
      <c r="F440" s="188"/>
      <c r="G440" s="188"/>
      <c r="H440" s="188"/>
      <c r="I440" s="188"/>
      <c r="J440" s="188"/>
      <c r="K440" s="188"/>
      <c r="L440" s="188"/>
      <c r="M440" s="188"/>
      <c r="N440" s="188"/>
      <c r="O440" s="188"/>
      <c r="P440" s="188"/>
      <c r="Q440" s="188"/>
      <c r="R440" s="188"/>
      <c r="S440" s="188"/>
      <c r="T440" s="188"/>
      <c r="U440" s="189"/>
    </row>
    <row r="441" spans="2:21" x14ac:dyDescent="0.35">
      <c r="B441" s="186"/>
      <c r="C441" s="163"/>
      <c r="D441" s="188"/>
      <c r="E441" s="188"/>
      <c r="F441" s="188"/>
      <c r="G441" s="188"/>
      <c r="H441" s="188"/>
      <c r="I441" s="188"/>
      <c r="J441" s="188"/>
      <c r="K441" s="188"/>
      <c r="L441" s="188"/>
      <c r="M441" s="188"/>
      <c r="N441" s="188"/>
      <c r="O441" s="188"/>
      <c r="P441" s="188"/>
      <c r="Q441" s="188"/>
      <c r="R441" s="188"/>
      <c r="S441" s="188"/>
      <c r="T441" s="188"/>
      <c r="U441" s="189"/>
    </row>
    <row r="442" spans="2:21" x14ac:dyDescent="0.35">
      <c r="B442" s="186"/>
      <c r="C442" s="163"/>
      <c r="D442" s="188"/>
      <c r="E442" s="188"/>
      <c r="F442" s="188"/>
      <c r="G442" s="188"/>
      <c r="H442" s="188"/>
      <c r="I442" s="188"/>
      <c r="J442" s="188"/>
      <c r="K442" s="188"/>
      <c r="L442" s="188"/>
      <c r="M442" s="188"/>
      <c r="N442" s="188"/>
      <c r="O442" s="188"/>
      <c r="P442" s="188"/>
      <c r="Q442" s="188"/>
      <c r="R442" s="188"/>
      <c r="S442" s="188"/>
      <c r="T442" s="188"/>
      <c r="U442" s="189"/>
    </row>
    <row r="443" spans="2:21" x14ac:dyDescent="0.35">
      <c r="B443" s="186"/>
      <c r="C443" s="163"/>
      <c r="D443" s="188"/>
      <c r="E443" s="188"/>
      <c r="F443" s="188"/>
      <c r="G443" s="188"/>
      <c r="H443" s="188"/>
      <c r="I443" s="188"/>
      <c r="J443" s="188"/>
      <c r="K443" s="188"/>
      <c r="L443" s="188"/>
      <c r="M443" s="188"/>
      <c r="N443" s="188"/>
      <c r="O443" s="188"/>
      <c r="P443" s="188"/>
      <c r="Q443" s="188"/>
      <c r="R443" s="188"/>
      <c r="S443" s="188"/>
      <c r="T443" s="188"/>
      <c r="U443" s="189"/>
    </row>
    <row r="444" spans="2:21" x14ac:dyDescent="0.35">
      <c r="B444" s="186"/>
      <c r="C444" s="163"/>
      <c r="D444" s="188"/>
      <c r="E444" s="188"/>
      <c r="F444" s="188"/>
      <c r="G444" s="188"/>
      <c r="H444" s="188"/>
      <c r="I444" s="188"/>
      <c r="J444" s="188"/>
      <c r="K444" s="188"/>
      <c r="L444" s="188"/>
      <c r="M444" s="188"/>
      <c r="N444" s="188"/>
      <c r="O444" s="188"/>
      <c r="P444" s="188"/>
      <c r="Q444" s="188"/>
      <c r="R444" s="188"/>
      <c r="S444" s="188"/>
      <c r="T444" s="188"/>
      <c r="U444" s="189"/>
    </row>
    <row r="445" spans="2:21" x14ac:dyDescent="0.35">
      <c r="B445" s="186"/>
      <c r="C445" s="163"/>
      <c r="D445" s="188"/>
      <c r="E445" s="188"/>
      <c r="F445" s="188"/>
      <c r="G445" s="188"/>
      <c r="H445" s="188"/>
      <c r="I445" s="188"/>
      <c r="J445" s="188"/>
      <c r="K445" s="188"/>
      <c r="L445" s="188"/>
      <c r="M445" s="188"/>
      <c r="N445" s="188"/>
      <c r="O445" s="188"/>
      <c r="P445" s="188"/>
      <c r="Q445" s="188"/>
      <c r="R445" s="188"/>
      <c r="S445" s="188"/>
      <c r="T445" s="188"/>
      <c r="U445" s="189"/>
    </row>
    <row r="446" spans="2:21" x14ac:dyDescent="0.35">
      <c r="B446" s="186"/>
      <c r="C446" s="163"/>
      <c r="D446" s="188"/>
      <c r="E446" s="188"/>
      <c r="F446" s="188"/>
      <c r="G446" s="188"/>
      <c r="H446" s="188"/>
      <c r="I446" s="188"/>
      <c r="J446" s="188"/>
      <c r="K446" s="188"/>
      <c r="L446" s="188"/>
      <c r="M446" s="188"/>
      <c r="N446" s="188"/>
      <c r="O446" s="188"/>
      <c r="P446" s="188"/>
      <c r="Q446" s="188"/>
      <c r="R446" s="188"/>
      <c r="S446" s="188"/>
      <c r="T446" s="188"/>
      <c r="U446" s="189"/>
    </row>
    <row r="447" spans="2:21" x14ac:dyDescent="0.35">
      <c r="B447" s="186"/>
      <c r="C447" s="163"/>
      <c r="D447" s="188"/>
      <c r="E447" s="188"/>
      <c r="F447" s="188"/>
      <c r="G447" s="188"/>
      <c r="H447" s="188"/>
      <c r="I447" s="188"/>
      <c r="J447" s="188"/>
      <c r="K447" s="188"/>
      <c r="L447" s="188"/>
      <c r="M447" s="188"/>
      <c r="N447" s="188"/>
      <c r="O447" s="188"/>
      <c r="P447" s="188"/>
      <c r="Q447" s="188"/>
      <c r="R447" s="188"/>
      <c r="S447" s="188"/>
      <c r="T447" s="188"/>
      <c r="U447" s="189"/>
    </row>
    <row r="448" spans="2:21" x14ac:dyDescent="0.35">
      <c r="B448" s="186"/>
      <c r="C448" s="163"/>
      <c r="D448" s="188"/>
      <c r="E448" s="188"/>
      <c r="F448" s="188"/>
      <c r="G448" s="188"/>
      <c r="H448" s="188"/>
      <c r="I448" s="188"/>
      <c r="J448" s="188"/>
      <c r="K448" s="188"/>
      <c r="L448" s="188"/>
      <c r="M448" s="188"/>
      <c r="N448" s="188"/>
      <c r="O448" s="188"/>
      <c r="P448" s="188"/>
      <c r="Q448" s="188"/>
      <c r="R448" s="188"/>
      <c r="S448" s="188"/>
      <c r="T448" s="188"/>
      <c r="U448" s="189"/>
    </row>
    <row r="449" spans="2:21" x14ac:dyDescent="0.35">
      <c r="B449" s="186"/>
      <c r="C449" s="163"/>
      <c r="D449" s="188"/>
      <c r="E449" s="188"/>
      <c r="F449" s="188"/>
      <c r="G449" s="188"/>
      <c r="H449" s="188"/>
      <c r="I449" s="188"/>
      <c r="J449" s="188"/>
      <c r="K449" s="188"/>
      <c r="L449" s="188"/>
      <c r="M449" s="188"/>
      <c r="N449" s="188"/>
      <c r="O449" s="188"/>
      <c r="P449" s="188"/>
      <c r="Q449" s="188"/>
      <c r="R449" s="188"/>
      <c r="S449" s="188"/>
      <c r="T449" s="188"/>
      <c r="U449" s="189"/>
    </row>
    <row r="450" spans="2:21" x14ac:dyDescent="0.35">
      <c r="B450" s="186"/>
      <c r="C450" s="163"/>
      <c r="D450" s="188"/>
      <c r="E450" s="188"/>
      <c r="F450" s="188"/>
      <c r="G450" s="188"/>
      <c r="H450" s="188"/>
      <c r="I450" s="188"/>
      <c r="J450" s="188"/>
      <c r="K450" s="188"/>
      <c r="L450" s="188"/>
      <c r="M450" s="188"/>
      <c r="N450" s="188"/>
      <c r="O450" s="188"/>
      <c r="P450" s="188"/>
      <c r="Q450" s="188"/>
      <c r="R450" s="188"/>
      <c r="S450" s="188"/>
      <c r="T450" s="188"/>
      <c r="U450" s="189"/>
    </row>
    <row r="451" spans="2:21" x14ac:dyDescent="0.35">
      <c r="B451" s="186"/>
      <c r="C451" s="163"/>
      <c r="D451" s="188"/>
      <c r="E451" s="188"/>
      <c r="F451" s="188"/>
      <c r="G451" s="188"/>
      <c r="H451" s="188"/>
      <c r="I451" s="188"/>
      <c r="J451" s="188"/>
      <c r="K451" s="188"/>
      <c r="L451" s="188"/>
      <c r="M451" s="188"/>
      <c r="N451" s="188"/>
      <c r="O451" s="188"/>
      <c r="P451" s="188"/>
      <c r="Q451" s="188"/>
      <c r="R451" s="188"/>
      <c r="S451" s="188"/>
      <c r="T451" s="188"/>
      <c r="U451" s="189"/>
    </row>
    <row r="452" spans="2:21" x14ac:dyDescent="0.35">
      <c r="B452" s="186"/>
      <c r="C452" s="163"/>
      <c r="D452" s="188"/>
      <c r="E452" s="188"/>
      <c r="F452" s="188"/>
      <c r="G452" s="188"/>
      <c r="H452" s="188"/>
      <c r="I452" s="188"/>
      <c r="J452" s="188"/>
      <c r="K452" s="188"/>
      <c r="L452" s="188"/>
      <c r="M452" s="188"/>
      <c r="N452" s="188"/>
      <c r="O452" s="188"/>
      <c r="P452" s="188"/>
      <c r="Q452" s="188"/>
      <c r="R452" s="188"/>
      <c r="S452" s="188"/>
      <c r="T452" s="188"/>
      <c r="U452" s="189"/>
    </row>
    <row r="453" spans="2:21" x14ac:dyDescent="0.35">
      <c r="B453" s="186"/>
      <c r="C453" s="163"/>
      <c r="D453" s="188"/>
      <c r="E453" s="188"/>
      <c r="F453" s="188"/>
      <c r="G453" s="188"/>
      <c r="H453" s="188"/>
      <c r="I453" s="188"/>
      <c r="J453" s="188"/>
      <c r="K453" s="188"/>
      <c r="L453" s="188"/>
      <c r="M453" s="188"/>
      <c r="N453" s="188"/>
      <c r="O453" s="188"/>
      <c r="P453" s="188"/>
      <c r="Q453" s="188"/>
      <c r="R453" s="188"/>
      <c r="S453" s="188"/>
      <c r="T453" s="188"/>
      <c r="U453" s="189"/>
    </row>
    <row r="454" spans="2:21" x14ac:dyDescent="0.35">
      <c r="B454" s="186"/>
      <c r="C454" s="163"/>
      <c r="D454" s="188"/>
      <c r="E454" s="188"/>
      <c r="F454" s="188"/>
      <c r="G454" s="188"/>
      <c r="H454" s="188"/>
      <c r="I454" s="188"/>
      <c r="J454" s="188"/>
      <c r="K454" s="188"/>
      <c r="L454" s="188"/>
      <c r="M454" s="188"/>
      <c r="N454" s="188"/>
      <c r="O454" s="188"/>
      <c r="P454" s="188"/>
      <c r="Q454" s="188"/>
      <c r="R454" s="188"/>
      <c r="S454" s="188"/>
      <c r="T454" s="188"/>
      <c r="U454" s="189"/>
    </row>
    <row r="455" spans="2:21" x14ac:dyDescent="0.35">
      <c r="B455" s="186"/>
      <c r="C455" s="163"/>
      <c r="D455" s="188"/>
      <c r="E455" s="188"/>
      <c r="F455" s="188"/>
      <c r="G455" s="188"/>
      <c r="H455" s="188"/>
      <c r="I455" s="188"/>
      <c r="J455" s="188"/>
      <c r="K455" s="188"/>
      <c r="L455" s="188"/>
      <c r="M455" s="188"/>
      <c r="N455" s="188"/>
      <c r="O455" s="188"/>
      <c r="P455" s="188"/>
      <c r="Q455" s="188"/>
      <c r="R455" s="188"/>
      <c r="S455" s="188"/>
      <c r="T455" s="188"/>
      <c r="U455" s="189"/>
    </row>
    <row r="456" spans="2:21" x14ac:dyDescent="0.35">
      <c r="B456" s="186"/>
      <c r="C456" s="163"/>
      <c r="D456" s="188"/>
      <c r="E456" s="188"/>
      <c r="F456" s="188"/>
      <c r="G456" s="188"/>
      <c r="H456" s="188"/>
      <c r="I456" s="188"/>
      <c r="J456" s="188"/>
      <c r="K456" s="188"/>
      <c r="L456" s="188"/>
      <c r="M456" s="188"/>
      <c r="N456" s="188"/>
      <c r="O456" s="188"/>
      <c r="P456" s="188"/>
      <c r="Q456" s="188"/>
      <c r="R456" s="188"/>
      <c r="S456" s="188"/>
      <c r="T456" s="188"/>
      <c r="U456" s="189"/>
    </row>
    <row r="457" spans="2:21" x14ac:dyDescent="0.35">
      <c r="B457" s="186"/>
      <c r="C457" s="163"/>
      <c r="D457" s="188"/>
      <c r="E457" s="188"/>
      <c r="F457" s="188"/>
      <c r="G457" s="188"/>
      <c r="H457" s="188"/>
      <c r="I457" s="188"/>
      <c r="J457" s="188"/>
      <c r="K457" s="188"/>
      <c r="L457" s="188"/>
      <c r="M457" s="188"/>
      <c r="N457" s="188"/>
      <c r="O457" s="188"/>
      <c r="P457" s="188"/>
      <c r="Q457" s="188"/>
      <c r="R457" s="188"/>
      <c r="S457" s="188"/>
      <c r="T457" s="188"/>
      <c r="U457" s="189"/>
    </row>
    <row r="458" spans="2:21" x14ac:dyDescent="0.35">
      <c r="B458" s="186"/>
      <c r="C458" s="163"/>
      <c r="D458" s="188"/>
      <c r="E458" s="188"/>
      <c r="F458" s="188"/>
      <c r="G458" s="188"/>
      <c r="H458" s="188"/>
      <c r="I458" s="188"/>
      <c r="J458" s="188"/>
      <c r="K458" s="188"/>
      <c r="L458" s="188"/>
      <c r="M458" s="188"/>
      <c r="N458" s="188"/>
      <c r="O458" s="188"/>
      <c r="P458" s="188"/>
      <c r="Q458" s="188"/>
      <c r="R458" s="188"/>
      <c r="S458" s="188"/>
      <c r="T458" s="188"/>
      <c r="U458" s="189"/>
    </row>
    <row r="459" spans="2:21" x14ac:dyDescent="0.35">
      <c r="B459" s="186"/>
      <c r="C459" s="163"/>
      <c r="D459" s="188"/>
      <c r="E459" s="188"/>
      <c r="F459" s="188"/>
      <c r="G459" s="188"/>
      <c r="H459" s="188"/>
      <c r="I459" s="188"/>
      <c r="J459" s="188"/>
      <c r="K459" s="188"/>
      <c r="L459" s="188"/>
      <c r="M459" s="188"/>
      <c r="N459" s="188"/>
      <c r="O459" s="188"/>
      <c r="P459" s="188"/>
      <c r="Q459" s="188"/>
      <c r="R459" s="188"/>
      <c r="S459" s="188"/>
      <c r="T459" s="188"/>
      <c r="U459" s="189"/>
    </row>
    <row r="460" spans="2:21" x14ac:dyDescent="0.35">
      <c r="B460" s="186"/>
      <c r="C460" s="163"/>
      <c r="D460" s="188"/>
      <c r="E460" s="188"/>
      <c r="F460" s="188"/>
      <c r="G460" s="188"/>
      <c r="H460" s="188"/>
      <c r="I460" s="188"/>
      <c r="J460" s="188"/>
      <c r="K460" s="188"/>
      <c r="L460" s="188"/>
      <c r="M460" s="188"/>
      <c r="N460" s="188"/>
      <c r="O460" s="188"/>
      <c r="P460" s="188"/>
      <c r="Q460" s="188"/>
      <c r="R460" s="188"/>
      <c r="S460" s="188"/>
      <c r="T460" s="188"/>
      <c r="U460" s="189"/>
    </row>
    <row r="461" spans="2:21" x14ac:dyDescent="0.35">
      <c r="B461" s="186"/>
      <c r="C461" s="163"/>
      <c r="D461" s="188"/>
      <c r="E461" s="188"/>
      <c r="F461" s="188"/>
      <c r="G461" s="188"/>
      <c r="H461" s="188"/>
      <c r="I461" s="188"/>
      <c r="J461" s="188"/>
      <c r="K461" s="188"/>
      <c r="L461" s="188"/>
      <c r="M461" s="188"/>
      <c r="N461" s="188"/>
      <c r="O461" s="188"/>
      <c r="P461" s="188"/>
      <c r="Q461" s="188"/>
      <c r="R461" s="188"/>
      <c r="S461" s="188"/>
      <c r="T461" s="188"/>
      <c r="U461" s="189"/>
    </row>
    <row r="462" spans="2:21" x14ac:dyDescent="0.35">
      <c r="B462" s="186"/>
      <c r="C462" s="163"/>
      <c r="D462" s="188"/>
      <c r="E462" s="188"/>
      <c r="F462" s="188"/>
      <c r="G462" s="188"/>
      <c r="H462" s="188"/>
      <c r="I462" s="188"/>
      <c r="J462" s="188"/>
      <c r="K462" s="188"/>
      <c r="L462" s="188"/>
      <c r="M462" s="188"/>
      <c r="N462" s="188"/>
      <c r="O462" s="188"/>
      <c r="P462" s="188"/>
      <c r="Q462" s="188"/>
      <c r="R462" s="188"/>
      <c r="S462" s="188"/>
      <c r="T462" s="188"/>
      <c r="U462" s="189"/>
    </row>
    <row r="463" spans="2:21" x14ac:dyDescent="0.35">
      <c r="B463" s="186"/>
      <c r="C463" s="163"/>
      <c r="D463" s="188"/>
      <c r="E463" s="188"/>
      <c r="F463" s="188"/>
      <c r="G463" s="188"/>
      <c r="H463" s="188"/>
      <c r="I463" s="188"/>
      <c r="J463" s="188"/>
      <c r="K463" s="188"/>
      <c r="L463" s="188"/>
      <c r="M463" s="188"/>
      <c r="N463" s="188"/>
      <c r="O463" s="188"/>
      <c r="P463" s="188"/>
      <c r="Q463" s="188"/>
      <c r="R463" s="188"/>
      <c r="S463" s="188"/>
      <c r="T463" s="188"/>
      <c r="U463" s="189"/>
    </row>
    <row r="464" spans="2:21" x14ac:dyDescent="0.35">
      <c r="B464" s="186"/>
      <c r="C464" s="163"/>
      <c r="D464" s="188"/>
      <c r="E464" s="188"/>
      <c r="F464" s="188"/>
      <c r="G464" s="188"/>
      <c r="H464" s="188"/>
      <c r="I464" s="188"/>
      <c r="J464" s="188"/>
      <c r="K464" s="188"/>
      <c r="L464" s="188"/>
      <c r="M464" s="188"/>
      <c r="N464" s="188"/>
      <c r="O464" s="188"/>
      <c r="P464" s="188"/>
      <c r="Q464" s="188"/>
      <c r="R464" s="188"/>
      <c r="S464" s="188"/>
      <c r="T464" s="188"/>
      <c r="U464" s="189"/>
    </row>
    <row r="465" spans="2:21" x14ac:dyDescent="0.35">
      <c r="B465" s="186"/>
      <c r="C465" s="163"/>
      <c r="D465" s="188"/>
      <c r="E465" s="188"/>
      <c r="F465" s="188"/>
      <c r="G465" s="188"/>
      <c r="H465" s="188"/>
      <c r="I465" s="188"/>
      <c r="J465" s="188"/>
      <c r="K465" s="188"/>
      <c r="L465" s="188"/>
      <c r="M465" s="188"/>
      <c r="N465" s="188"/>
      <c r="O465" s="188"/>
      <c r="P465" s="188"/>
      <c r="Q465" s="188"/>
      <c r="R465" s="188"/>
      <c r="S465" s="188"/>
      <c r="T465" s="188"/>
      <c r="U465" s="189"/>
    </row>
    <row r="466" spans="2:21" x14ac:dyDescent="0.35">
      <c r="B466" s="186"/>
      <c r="C466" s="163"/>
      <c r="D466" s="188"/>
      <c r="E466" s="188"/>
      <c r="F466" s="188"/>
      <c r="G466" s="188"/>
      <c r="H466" s="188"/>
      <c r="I466" s="188"/>
      <c r="J466" s="188"/>
      <c r="K466" s="188"/>
      <c r="L466" s="188"/>
      <c r="M466" s="188"/>
      <c r="N466" s="188"/>
      <c r="O466" s="188"/>
      <c r="P466" s="188"/>
      <c r="Q466" s="188"/>
      <c r="R466" s="188"/>
      <c r="S466" s="188"/>
      <c r="T466" s="188"/>
      <c r="U466" s="189"/>
    </row>
    <row r="467" spans="2:21" x14ac:dyDescent="0.35">
      <c r="B467" s="186"/>
      <c r="C467" s="163"/>
      <c r="D467" s="188"/>
      <c r="E467" s="188"/>
      <c r="F467" s="188"/>
      <c r="G467" s="188"/>
      <c r="H467" s="188"/>
      <c r="I467" s="188"/>
      <c r="J467" s="188"/>
      <c r="K467" s="188"/>
      <c r="L467" s="188"/>
      <c r="M467" s="188"/>
      <c r="N467" s="188"/>
      <c r="O467" s="188"/>
      <c r="P467" s="188"/>
      <c r="Q467" s="188"/>
      <c r="R467" s="188"/>
      <c r="S467" s="188"/>
      <c r="T467" s="188"/>
      <c r="U467" s="189"/>
    </row>
    <row r="468" spans="2:21" x14ac:dyDescent="0.35">
      <c r="B468" s="186"/>
      <c r="C468" s="163"/>
      <c r="D468" s="188"/>
      <c r="E468" s="188"/>
      <c r="F468" s="188"/>
      <c r="G468" s="188"/>
      <c r="H468" s="188"/>
      <c r="I468" s="188"/>
      <c r="J468" s="188"/>
      <c r="K468" s="188"/>
      <c r="L468" s="188"/>
      <c r="M468" s="188"/>
      <c r="N468" s="188"/>
      <c r="O468" s="188"/>
      <c r="P468" s="188"/>
      <c r="Q468" s="188"/>
      <c r="R468" s="188"/>
      <c r="S468" s="188"/>
      <c r="T468" s="188"/>
      <c r="U468" s="189"/>
    </row>
    <row r="469" spans="2:21" x14ac:dyDescent="0.35">
      <c r="B469" s="186"/>
      <c r="C469" s="163"/>
      <c r="D469" s="188"/>
      <c r="E469" s="188"/>
      <c r="F469" s="188"/>
      <c r="G469" s="188"/>
      <c r="H469" s="188"/>
      <c r="I469" s="188"/>
      <c r="J469" s="188"/>
      <c r="K469" s="188"/>
      <c r="L469" s="188"/>
      <c r="M469" s="188"/>
      <c r="N469" s="188"/>
      <c r="O469" s="188"/>
      <c r="P469" s="188"/>
      <c r="Q469" s="188"/>
      <c r="R469" s="188"/>
      <c r="S469" s="188"/>
      <c r="T469" s="188"/>
      <c r="U469" s="189"/>
    </row>
    <row r="470" spans="2:21" x14ac:dyDescent="0.35">
      <c r="B470" s="186"/>
      <c r="C470" s="163"/>
      <c r="D470" s="188"/>
      <c r="E470" s="188"/>
      <c r="F470" s="188"/>
      <c r="G470" s="188"/>
      <c r="H470" s="188"/>
      <c r="I470" s="188"/>
      <c r="J470" s="188"/>
      <c r="K470" s="188"/>
      <c r="L470" s="188"/>
      <c r="M470" s="188"/>
      <c r="N470" s="188"/>
      <c r="O470" s="188"/>
      <c r="P470" s="188"/>
      <c r="Q470" s="188"/>
      <c r="R470" s="188"/>
      <c r="S470" s="188"/>
      <c r="T470" s="188"/>
      <c r="U470" s="189"/>
    </row>
    <row r="471" spans="2:21" x14ac:dyDescent="0.35">
      <c r="B471" s="186"/>
      <c r="C471" s="163"/>
      <c r="D471" s="188"/>
      <c r="E471" s="188"/>
      <c r="F471" s="188"/>
      <c r="G471" s="188"/>
      <c r="H471" s="188"/>
      <c r="I471" s="188"/>
      <c r="J471" s="188"/>
      <c r="K471" s="188"/>
      <c r="L471" s="188"/>
      <c r="M471" s="188"/>
      <c r="N471" s="188"/>
      <c r="O471" s="188"/>
      <c r="P471" s="188"/>
      <c r="Q471" s="188"/>
      <c r="R471" s="188"/>
      <c r="S471" s="188"/>
      <c r="T471" s="188"/>
      <c r="U471" s="189"/>
    </row>
    <row r="472" spans="2:21" x14ac:dyDescent="0.35">
      <c r="B472" s="186"/>
      <c r="C472" s="163"/>
      <c r="D472" s="188"/>
      <c r="E472" s="188"/>
      <c r="F472" s="188"/>
      <c r="G472" s="188"/>
      <c r="H472" s="188"/>
      <c r="I472" s="188"/>
      <c r="J472" s="188"/>
      <c r="K472" s="188"/>
      <c r="L472" s="188"/>
      <c r="M472" s="188"/>
      <c r="N472" s="188"/>
      <c r="O472" s="188"/>
      <c r="P472" s="188"/>
      <c r="Q472" s="188"/>
      <c r="R472" s="188"/>
      <c r="S472" s="188"/>
      <c r="T472" s="188"/>
      <c r="U472" s="189"/>
    </row>
    <row r="473" spans="2:21" x14ac:dyDescent="0.35">
      <c r="B473" s="186"/>
      <c r="C473" s="163"/>
      <c r="D473" s="188"/>
      <c r="E473" s="188"/>
      <c r="F473" s="188"/>
      <c r="G473" s="188"/>
      <c r="H473" s="188"/>
      <c r="I473" s="188"/>
      <c r="J473" s="188"/>
      <c r="K473" s="188"/>
      <c r="L473" s="188"/>
      <c r="M473" s="188"/>
      <c r="N473" s="188"/>
      <c r="O473" s="188"/>
      <c r="P473" s="188"/>
      <c r="Q473" s="188"/>
      <c r="R473" s="188"/>
      <c r="S473" s="188"/>
      <c r="T473" s="188"/>
      <c r="U473" s="189"/>
    </row>
    <row r="474" spans="2:21" x14ac:dyDescent="0.35">
      <c r="B474" s="186"/>
      <c r="C474" s="163"/>
      <c r="D474" s="188"/>
      <c r="E474" s="188"/>
      <c r="F474" s="188"/>
      <c r="G474" s="188"/>
      <c r="H474" s="188"/>
      <c r="I474" s="188"/>
      <c r="J474" s="188"/>
      <c r="K474" s="188"/>
      <c r="L474" s="188"/>
      <c r="M474" s="188"/>
      <c r="N474" s="188"/>
      <c r="O474" s="188"/>
      <c r="P474" s="188"/>
      <c r="Q474" s="188"/>
      <c r="R474" s="188"/>
      <c r="S474" s="188"/>
      <c r="T474" s="188"/>
      <c r="U474" s="189"/>
    </row>
    <row r="475" spans="2:21" x14ac:dyDescent="0.35">
      <c r="B475" s="186"/>
      <c r="C475" s="163"/>
      <c r="D475" s="188"/>
      <c r="E475" s="188"/>
      <c r="F475" s="188"/>
      <c r="G475" s="188"/>
      <c r="H475" s="188"/>
      <c r="I475" s="188"/>
      <c r="J475" s="188"/>
      <c r="K475" s="188"/>
      <c r="L475" s="188"/>
      <c r="M475" s="188"/>
      <c r="N475" s="188"/>
      <c r="O475" s="188"/>
      <c r="P475" s="188"/>
      <c r="Q475" s="188"/>
      <c r="R475" s="188"/>
      <c r="S475" s="188"/>
      <c r="T475" s="188"/>
      <c r="U475" s="189"/>
    </row>
    <row r="476" spans="2:21" x14ac:dyDescent="0.35">
      <c r="B476" s="186"/>
      <c r="C476" s="163"/>
      <c r="D476" s="188"/>
      <c r="E476" s="188"/>
      <c r="F476" s="188"/>
      <c r="G476" s="188"/>
      <c r="H476" s="188"/>
      <c r="I476" s="188"/>
      <c r="J476" s="188"/>
      <c r="K476" s="188"/>
      <c r="L476" s="188"/>
      <c r="M476" s="188"/>
      <c r="N476" s="188"/>
      <c r="O476" s="188"/>
      <c r="P476" s="188"/>
      <c r="Q476" s="188"/>
      <c r="R476" s="188"/>
      <c r="S476" s="188"/>
      <c r="T476" s="188"/>
      <c r="U476" s="189"/>
    </row>
    <row r="477" spans="2:21" x14ac:dyDescent="0.35">
      <c r="B477" s="186"/>
      <c r="C477" s="163"/>
      <c r="D477" s="188"/>
      <c r="E477" s="188"/>
      <c r="F477" s="188"/>
      <c r="G477" s="188"/>
      <c r="H477" s="188"/>
      <c r="I477" s="188"/>
      <c r="J477" s="188"/>
      <c r="K477" s="188"/>
      <c r="L477" s="188"/>
      <c r="M477" s="188"/>
      <c r="N477" s="188"/>
      <c r="O477" s="188"/>
      <c r="P477" s="188"/>
      <c r="Q477" s="188"/>
      <c r="R477" s="188"/>
      <c r="S477" s="188"/>
      <c r="T477" s="188"/>
      <c r="U477" s="189"/>
    </row>
    <row r="478" spans="2:21" x14ac:dyDescent="0.35">
      <c r="B478" s="186"/>
      <c r="C478" s="163"/>
      <c r="D478" s="188"/>
      <c r="E478" s="188"/>
      <c r="F478" s="188"/>
      <c r="G478" s="188"/>
      <c r="H478" s="188"/>
      <c r="I478" s="188"/>
      <c r="J478" s="188"/>
      <c r="K478" s="188"/>
      <c r="L478" s="188"/>
      <c r="M478" s="188"/>
      <c r="N478" s="188"/>
      <c r="O478" s="188"/>
      <c r="P478" s="188"/>
      <c r="Q478" s="188"/>
      <c r="R478" s="188"/>
      <c r="S478" s="188"/>
      <c r="T478" s="188"/>
      <c r="U478" s="189"/>
    </row>
    <row r="479" spans="2:21" x14ac:dyDescent="0.35">
      <c r="B479" s="186"/>
      <c r="C479" s="163"/>
      <c r="D479" s="188"/>
      <c r="E479" s="188"/>
      <c r="F479" s="188"/>
      <c r="G479" s="188"/>
      <c r="H479" s="188"/>
      <c r="I479" s="188"/>
      <c r="J479" s="188"/>
      <c r="K479" s="188"/>
      <c r="L479" s="188"/>
      <c r="M479" s="188"/>
      <c r="N479" s="188"/>
      <c r="O479" s="188"/>
      <c r="P479" s="188"/>
      <c r="Q479" s="188"/>
      <c r="R479" s="188"/>
      <c r="S479" s="188"/>
      <c r="T479" s="188"/>
      <c r="U479" s="189"/>
    </row>
    <row r="480" spans="2:21" x14ac:dyDescent="0.35">
      <c r="B480" s="186"/>
      <c r="C480" s="163"/>
      <c r="D480" s="188"/>
      <c r="E480" s="188"/>
      <c r="F480" s="188"/>
      <c r="G480" s="188"/>
      <c r="H480" s="188"/>
      <c r="I480" s="188"/>
      <c r="J480" s="188"/>
      <c r="K480" s="188"/>
      <c r="L480" s="188"/>
      <c r="M480" s="188"/>
      <c r="N480" s="188"/>
      <c r="O480" s="188"/>
      <c r="P480" s="188"/>
      <c r="Q480" s="188"/>
      <c r="R480" s="188"/>
      <c r="S480" s="188"/>
      <c r="T480" s="188"/>
      <c r="U480" s="189"/>
    </row>
    <row r="481" spans="2:21" x14ac:dyDescent="0.35">
      <c r="B481" s="186"/>
      <c r="C481" s="163"/>
      <c r="D481" s="188"/>
      <c r="E481" s="188"/>
      <c r="F481" s="188"/>
      <c r="G481" s="188"/>
      <c r="H481" s="188"/>
      <c r="I481" s="188"/>
      <c r="J481" s="188"/>
      <c r="K481" s="188"/>
      <c r="L481" s="188"/>
      <c r="M481" s="188"/>
      <c r="N481" s="188"/>
      <c r="O481" s="188"/>
      <c r="P481" s="188"/>
      <c r="Q481" s="188"/>
      <c r="R481" s="188"/>
      <c r="S481" s="188"/>
      <c r="T481" s="188"/>
      <c r="U481" s="189"/>
    </row>
    <row r="482" spans="2:21" x14ac:dyDescent="0.35">
      <c r="B482" s="186"/>
      <c r="C482" s="163"/>
      <c r="D482" s="188"/>
      <c r="E482" s="188"/>
      <c r="F482" s="188"/>
      <c r="G482" s="188"/>
      <c r="H482" s="188"/>
      <c r="I482" s="188"/>
      <c r="J482" s="188"/>
      <c r="K482" s="188"/>
      <c r="L482" s="188"/>
      <c r="M482" s="188"/>
      <c r="N482" s="188"/>
      <c r="O482" s="188"/>
      <c r="P482" s="188"/>
      <c r="Q482" s="188"/>
      <c r="R482" s="188"/>
      <c r="S482" s="188"/>
      <c r="T482" s="188"/>
      <c r="U482" s="189"/>
    </row>
    <row r="483" spans="2:21" x14ac:dyDescent="0.35">
      <c r="B483" s="186"/>
      <c r="C483" s="163"/>
      <c r="D483" s="188"/>
      <c r="E483" s="188"/>
      <c r="F483" s="188"/>
      <c r="G483" s="188"/>
      <c r="H483" s="188"/>
      <c r="I483" s="188"/>
      <c r="J483" s="188"/>
      <c r="K483" s="188"/>
      <c r="L483" s="188"/>
      <c r="M483" s="188"/>
      <c r="N483" s="188"/>
      <c r="O483" s="188"/>
      <c r="P483" s="188"/>
      <c r="Q483" s="188"/>
      <c r="R483" s="188"/>
      <c r="S483" s="188"/>
      <c r="T483" s="188"/>
      <c r="U483" s="189"/>
    </row>
    <row r="484" spans="2:21" x14ac:dyDescent="0.35">
      <c r="B484" s="186"/>
      <c r="C484" s="163"/>
      <c r="D484" s="188"/>
      <c r="E484" s="188"/>
      <c r="F484" s="188"/>
      <c r="G484" s="188"/>
      <c r="H484" s="188"/>
      <c r="I484" s="188"/>
      <c r="J484" s="188"/>
      <c r="K484" s="188"/>
      <c r="L484" s="188"/>
      <c r="M484" s="188"/>
      <c r="N484" s="188"/>
      <c r="O484" s="188"/>
      <c r="P484" s="188"/>
      <c r="Q484" s="188"/>
      <c r="R484" s="188"/>
      <c r="S484" s="188"/>
      <c r="T484" s="188"/>
      <c r="U484" s="189"/>
    </row>
    <row r="485" spans="2:21" x14ac:dyDescent="0.35">
      <c r="B485" s="186"/>
      <c r="C485" s="163"/>
      <c r="D485" s="188"/>
      <c r="E485" s="188"/>
      <c r="F485" s="188"/>
      <c r="G485" s="188"/>
      <c r="H485" s="188"/>
      <c r="I485" s="188"/>
      <c r="J485" s="188"/>
      <c r="K485" s="188"/>
      <c r="L485" s="188"/>
      <c r="M485" s="188"/>
      <c r="N485" s="188"/>
      <c r="O485" s="188"/>
      <c r="P485" s="188"/>
      <c r="Q485" s="188"/>
      <c r="R485" s="188"/>
      <c r="S485" s="188"/>
      <c r="T485" s="188"/>
      <c r="U485" s="189"/>
    </row>
    <row r="486" spans="2:21" x14ac:dyDescent="0.35">
      <c r="B486" s="186"/>
      <c r="C486" s="163"/>
      <c r="D486" s="188"/>
      <c r="E486" s="188"/>
      <c r="F486" s="188"/>
      <c r="G486" s="188"/>
      <c r="H486" s="188"/>
      <c r="I486" s="188"/>
      <c r="J486" s="188"/>
      <c r="K486" s="188"/>
      <c r="L486" s="188"/>
      <c r="M486" s="188"/>
      <c r="N486" s="188"/>
      <c r="O486" s="188"/>
      <c r="P486" s="188"/>
      <c r="Q486" s="188"/>
      <c r="R486" s="188"/>
      <c r="S486" s="188"/>
      <c r="T486" s="188"/>
      <c r="U486" s="189"/>
    </row>
    <row r="487" spans="2:21" x14ac:dyDescent="0.35">
      <c r="B487" s="186"/>
      <c r="C487" s="163"/>
      <c r="D487" s="188"/>
      <c r="E487" s="188"/>
      <c r="F487" s="188"/>
      <c r="G487" s="188"/>
      <c r="H487" s="188"/>
      <c r="I487" s="188"/>
      <c r="J487" s="188"/>
      <c r="K487" s="188"/>
      <c r="L487" s="188"/>
      <c r="M487" s="188"/>
      <c r="N487" s="188"/>
      <c r="O487" s="188"/>
      <c r="P487" s="188"/>
      <c r="Q487" s="188"/>
      <c r="R487" s="188"/>
      <c r="S487" s="188"/>
      <c r="T487" s="188"/>
      <c r="U487" s="189"/>
    </row>
    <row r="488" spans="2:21" x14ac:dyDescent="0.35">
      <c r="B488" s="186"/>
      <c r="C488" s="163"/>
      <c r="D488" s="188"/>
      <c r="E488" s="188"/>
      <c r="F488" s="188"/>
      <c r="G488" s="188"/>
      <c r="H488" s="188"/>
      <c r="I488" s="188"/>
      <c r="J488" s="188"/>
      <c r="K488" s="188"/>
      <c r="L488" s="188"/>
      <c r="M488" s="188"/>
      <c r="N488" s="188"/>
      <c r="O488" s="188"/>
      <c r="P488" s="188"/>
      <c r="Q488" s="188"/>
      <c r="R488" s="188"/>
      <c r="S488" s="188"/>
      <c r="T488" s="188"/>
      <c r="U488" s="189"/>
    </row>
    <row r="489" spans="2:21" x14ac:dyDescent="0.35">
      <c r="B489" s="186"/>
      <c r="C489" s="163"/>
      <c r="D489" s="188"/>
      <c r="E489" s="188"/>
      <c r="F489" s="188"/>
      <c r="G489" s="188"/>
      <c r="H489" s="188"/>
      <c r="I489" s="188"/>
      <c r="J489" s="188"/>
      <c r="K489" s="188"/>
      <c r="L489" s="188"/>
      <c r="M489" s="188"/>
      <c r="N489" s="188"/>
      <c r="O489" s="188"/>
      <c r="P489" s="188"/>
      <c r="Q489" s="188"/>
      <c r="R489" s="188"/>
      <c r="S489" s="188"/>
      <c r="T489" s="188"/>
      <c r="U489" s="189"/>
    </row>
    <row r="490" spans="2:21" x14ac:dyDescent="0.35">
      <c r="B490" s="186"/>
      <c r="C490" s="163"/>
      <c r="D490" s="188"/>
      <c r="E490" s="188"/>
      <c r="F490" s="188"/>
      <c r="G490" s="188"/>
      <c r="H490" s="188"/>
      <c r="I490" s="188"/>
      <c r="J490" s="188"/>
      <c r="K490" s="188"/>
      <c r="L490" s="188"/>
      <c r="M490" s="188"/>
      <c r="N490" s="188"/>
      <c r="O490" s="188"/>
      <c r="P490" s="188"/>
      <c r="Q490" s="188"/>
      <c r="R490" s="188"/>
      <c r="S490" s="188"/>
      <c r="T490" s="188"/>
      <c r="U490" s="189"/>
    </row>
    <row r="491" spans="2:21" x14ac:dyDescent="0.35">
      <c r="B491" s="186"/>
      <c r="C491" s="163"/>
      <c r="D491" s="188"/>
      <c r="E491" s="188"/>
      <c r="F491" s="188"/>
      <c r="G491" s="188"/>
      <c r="H491" s="188"/>
      <c r="I491" s="188"/>
      <c r="J491" s="188"/>
      <c r="K491" s="188"/>
      <c r="L491" s="188"/>
      <c r="M491" s="188"/>
      <c r="N491" s="188"/>
      <c r="O491" s="188"/>
      <c r="P491" s="188"/>
      <c r="Q491" s="188"/>
      <c r="R491" s="188"/>
      <c r="S491" s="188"/>
      <c r="T491" s="188"/>
      <c r="U491" s="189"/>
    </row>
    <row r="492" spans="2:21" x14ac:dyDescent="0.35">
      <c r="B492" s="186"/>
      <c r="C492" s="163"/>
      <c r="D492" s="188"/>
      <c r="E492" s="188"/>
      <c r="F492" s="188"/>
      <c r="G492" s="188"/>
      <c r="H492" s="188"/>
      <c r="I492" s="188"/>
      <c r="J492" s="188"/>
      <c r="K492" s="188"/>
      <c r="L492" s="188"/>
      <c r="M492" s="188"/>
      <c r="N492" s="188"/>
      <c r="O492" s="188"/>
      <c r="P492" s="188"/>
      <c r="Q492" s="188"/>
      <c r="R492" s="188"/>
      <c r="S492" s="188"/>
      <c r="T492" s="188"/>
      <c r="U492" s="189"/>
    </row>
    <row r="493" spans="2:21" x14ac:dyDescent="0.35">
      <c r="B493" s="186"/>
      <c r="C493" s="163"/>
      <c r="D493" s="188"/>
      <c r="E493" s="188"/>
      <c r="F493" s="188"/>
      <c r="G493" s="188"/>
      <c r="H493" s="188"/>
      <c r="I493" s="188"/>
      <c r="J493" s="188"/>
      <c r="K493" s="188"/>
      <c r="L493" s="188"/>
      <c r="M493" s="188"/>
      <c r="N493" s="188"/>
      <c r="O493" s="188"/>
      <c r="P493" s="188"/>
      <c r="Q493" s="188"/>
      <c r="R493" s="188"/>
      <c r="S493" s="188"/>
      <c r="T493" s="188"/>
      <c r="U493" s="189"/>
    </row>
    <row r="494" spans="2:21" x14ac:dyDescent="0.35">
      <c r="B494" s="186"/>
      <c r="C494" s="163"/>
      <c r="D494" s="188"/>
      <c r="E494" s="188"/>
      <c r="F494" s="188"/>
      <c r="G494" s="188"/>
      <c r="H494" s="188"/>
      <c r="I494" s="188"/>
      <c r="J494" s="188"/>
      <c r="K494" s="188"/>
      <c r="L494" s="188"/>
      <c r="M494" s="188"/>
      <c r="N494" s="188"/>
      <c r="O494" s="188"/>
      <c r="P494" s="188"/>
      <c r="Q494" s="188"/>
      <c r="R494" s="188"/>
      <c r="S494" s="188"/>
      <c r="T494" s="188"/>
      <c r="U494" s="189"/>
    </row>
    <row r="495" spans="2:21" x14ac:dyDescent="0.35">
      <c r="B495" s="186"/>
      <c r="C495" s="163"/>
      <c r="D495" s="188"/>
      <c r="E495" s="188"/>
      <c r="F495" s="188"/>
      <c r="G495" s="188"/>
      <c r="H495" s="188"/>
      <c r="I495" s="188"/>
      <c r="J495" s="188"/>
      <c r="K495" s="188"/>
      <c r="L495" s="188"/>
      <c r="M495" s="188"/>
      <c r="N495" s="188"/>
      <c r="O495" s="188"/>
      <c r="P495" s="188"/>
      <c r="Q495" s="188"/>
      <c r="R495" s="188"/>
      <c r="S495" s="188"/>
      <c r="T495" s="188"/>
      <c r="U495" s="189"/>
    </row>
    <row r="496" spans="2:21" x14ac:dyDescent="0.35">
      <c r="B496" s="186"/>
      <c r="C496" s="163"/>
      <c r="D496" s="188"/>
      <c r="E496" s="188"/>
      <c r="F496" s="188"/>
      <c r="G496" s="188"/>
      <c r="H496" s="188"/>
      <c r="I496" s="188"/>
      <c r="J496" s="188"/>
      <c r="K496" s="188"/>
      <c r="L496" s="188"/>
      <c r="M496" s="188"/>
      <c r="N496" s="188"/>
      <c r="O496" s="188"/>
      <c r="P496" s="188"/>
      <c r="Q496" s="188"/>
      <c r="R496" s="188"/>
      <c r="S496" s="188"/>
      <c r="T496" s="188"/>
      <c r="U496" s="189"/>
    </row>
    <row r="497" spans="2:21" x14ac:dyDescent="0.35">
      <c r="B497" s="186"/>
      <c r="C497" s="163"/>
      <c r="D497" s="188"/>
      <c r="E497" s="188"/>
      <c r="F497" s="188"/>
      <c r="G497" s="188"/>
      <c r="H497" s="188"/>
      <c r="I497" s="188"/>
      <c r="J497" s="188"/>
      <c r="K497" s="188"/>
      <c r="L497" s="188"/>
      <c r="M497" s="188"/>
      <c r="N497" s="188"/>
      <c r="O497" s="188"/>
      <c r="P497" s="188"/>
      <c r="Q497" s="188"/>
      <c r="R497" s="188"/>
      <c r="S497" s="188"/>
      <c r="T497" s="188"/>
      <c r="U497" s="189"/>
    </row>
    <row r="498" spans="2:21" x14ac:dyDescent="0.35">
      <c r="B498" s="186"/>
      <c r="C498" s="163"/>
      <c r="D498" s="188"/>
      <c r="E498" s="188"/>
      <c r="F498" s="188"/>
      <c r="G498" s="188"/>
      <c r="H498" s="188"/>
      <c r="I498" s="188"/>
      <c r="J498" s="188"/>
      <c r="K498" s="188"/>
      <c r="L498" s="188"/>
      <c r="M498" s="188"/>
      <c r="N498" s="188"/>
      <c r="O498" s="188"/>
      <c r="P498" s="188"/>
      <c r="Q498" s="188"/>
      <c r="R498" s="188"/>
      <c r="S498" s="188"/>
      <c r="T498" s="188"/>
      <c r="U498" s="189"/>
    </row>
    <row r="499" spans="2:21" x14ac:dyDescent="0.35">
      <c r="B499" s="186"/>
      <c r="C499" s="163"/>
      <c r="D499" s="188"/>
      <c r="E499" s="188"/>
      <c r="F499" s="188"/>
      <c r="G499" s="188"/>
      <c r="H499" s="188"/>
      <c r="I499" s="188"/>
      <c r="J499" s="188"/>
      <c r="K499" s="188"/>
      <c r="L499" s="188"/>
      <c r="M499" s="188"/>
      <c r="N499" s="188"/>
      <c r="O499" s="188"/>
      <c r="P499" s="188"/>
      <c r="Q499" s="188"/>
      <c r="R499" s="188"/>
      <c r="S499" s="188"/>
      <c r="T499" s="188"/>
      <c r="U499" s="189"/>
    </row>
    <row r="500" spans="2:21" x14ac:dyDescent="0.35">
      <c r="B500" s="186"/>
      <c r="C500" s="163"/>
      <c r="D500" s="188"/>
      <c r="E500" s="188"/>
      <c r="F500" s="188"/>
      <c r="G500" s="188"/>
      <c r="H500" s="188"/>
      <c r="I500" s="188"/>
      <c r="J500" s="188"/>
      <c r="K500" s="188"/>
      <c r="L500" s="188"/>
      <c r="M500" s="188"/>
      <c r="N500" s="188"/>
      <c r="O500" s="188"/>
      <c r="P500" s="188"/>
      <c r="Q500" s="188"/>
      <c r="R500" s="188"/>
      <c r="S500" s="188"/>
      <c r="T500" s="188"/>
      <c r="U500" s="189"/>
    </row>
    <row r="501" spans="2:21" x14ac:dyDescent="0.35">
      <c r="B501" s="186"/>
      <c r="C501" s="163"/>
      <c r="D501" s="188"/>
      <c r="E501" s="188"/>
      <c r="F501" s="188"/>
      <c r="G501" s="188"/>
      <c r="H501" s="188"/>
      <c r="I501" s="188"/>
      <c r="J501" s="188"/>
      <c r="K501" s="188"/>
      <c r="L501" s="188"/>
      <c r="M501" s="188"/>
      <c r="N501" s="188"/>
      <c r="O501" s="188"/>
      <c r="P501" s="188"/>
      <c r="Q501" s="188"/>
      <c r="R501" s="188"/>
      <c r="S501" s="188"/>
      <c r="T501" s="188"/>
      <c r="U501" s="189"/>
    </row>
    <row r="502" spans="2:21" x14ac:dyDescent="0.35">
      <c r="B502" s="186"/>
      <c r="C502" s="163"/>
      <c r="D502" s="188"/>
      <c r="E502" s="188"/>
      <c r="F502" s="188"/>
      <c r="G502" s="188"/>
      <c r="H502" s="188"/>
      <c r="I502" s="188"/>
      <c r="J502" s="188"/>
      <c r="K502" s="188"/>
      <c r="L502" s="188"/>
      <c r="M502" s="188"/>
      <c r="N502" s="188"/>
      <c r="O502" s="188"/>
      <c r="P502" s="188"/>
      <c r="Q502" s="188"/>
      <c r="R502" s="188"/>
      <c r="S502" s="188"/>
      <c r="T502" s="188"/>
      <c r="U502" s="189"/>
    </row>
    <row r="503" spans="2:21" x14ac:dyDescent="0.35">
      <c r="B503" s="186"/>
      <c r="C503" s="163"/>
      <c r="D503" s="188"/>
      <c r="E503" s="188"/>
      <c r="F503" s="188"/>
      <c r="G503" s="188"/>
      <c r="H503" s="188"/>
      <c r="I503" s="188"/>
      <c r="J503" s="188"/>
      <c r="K503" s="188"/>
      <c r="L503" s="188"/>
      <c r="M503" s="188"/>
      <c r="N503" s="188"/>
      <c r="O503" s="188"/>
      <c r="P503" s="188"/>
      <c r="Q503" s="188"/>
      <c r="R503" s="188"/>
      <c r="S503" s="188"/>
      <c r="T503" s="188"/>
      <c r="U503" s="189"/>
    </row>
    <row r="504" spans="2:21" x14ac:dyDescent="0.35">
      <c r="B504" s="186"/>
      <c r="C504" s="163"/>
      <c r="D504" s="188"/>
      <c r="E504" s="188"/>
      <c r="F504" s="188"/>
      <c r="G504" s="188"/>
      <c r="H504" s="188"/>
      <c r="I504" s="188"/>
      <c r="J504" s="188"/>
      <c r="K504" s="188"/>
      <c r="L504" s="188"/>
      <c r="M504" s="188"/>
      <c r="N504" s="188"/>
      <c r="O504" s="188"/>
      <c r="P504" s="188"/>
      <c r="Q504" s="188"/>
      <c r="R504" s="188"/>
      <c r="S504" s="188"/>
      <c r="T504" s="188"/>
      <c r="U504" s="189"/>
    </row>
    <row r="505" spans="2:21" x14ac:dyDescent="0.35">
      <c r="B505" s="186"/>
      <c r="C505" s="163"/>
      <c r="D505" s="188"/>
      <c r="E505" s="188"/>
      <c r="F505" s="188"/>
      <c r="G505" s="188"/>
      <c r="H505" s="188"/>
      <c r="I505" s="188"/>
      <c r="J505" s="188"/>
      <c r="K505" s="188"/>
      <c r="L505" s="188"/>
      <c r="M505" s="188"/>
      <c r="N505" s="188"/>
      <c r="O505" s="188"/>
      <c r="P505" s="188"/>
      <c r="Q505" s="188"/>
      <c r="R505" s="188"/>
      <c r="S505" s="188"/>
      <c r="T505" s="188"/>
      <c r="U505" s="189"/>
    </row>
    <row r="506" spans="2:21" x14ac:dyDescent="0.35">
      <c r="B506" s="186"/>
      <c r="C506" s="163"/>
      <c r="D506" s="188"/>
      <c r="E506" s="188"/>
      <c r="F506" s="188"/>
      <c r="G506" s="188"/>
      <c r="H506" s="188"/>
      <c r="I506" s="188"/>
      <c r="J506" s="188"/>
      <c r="K506" s="188"/>
      <c r="L506" s="188"/>
      <c r="M506" s="188"/>
      <c r="N506" s="188"/>
      <c r="O506" s="188"/>
      <c r="P506" s="188"/>
      <c r="Q506" s="188"/>
      <c r="R506" s="188"/>
      <c r="S506" s="188"/>
      <c r="T506" s="188"/>
      <c r="U506" s="189"/>
    </row>
    <row r="507" spans="2:21" x14ac:dyDescent="0.35">
      <c r="B507" s="186"/>
      <c r="C507" s="163"/>
      <c r="D507" s="188"/>
      <c r="E507" s="188"/>
      <c r="F507" s="188"/>
      <c r="G507" s="188"/>
      <c r="H507" s="188"/>
      <c r="I507" s="188"/>
      <c r="J507" s="188"/>
      <c r="K507" s="188"/>
      <c r="L507" s="188"/>
      <c r="M507" s="188"/>
      <c r="N507" s="188"/>
      <c r="O507" s="188"/>
      <c r="P507" s="188"/>
      <c r="Q507" s="188"/>
      <c r="R507" s="188"/>
      <c r="S507" s="188"/>
      <c r="T507" s="188"/>
      <c r="U507" s="189"/>
    </row>
    <row r="508" spans="2:21" x14ac:dyDescent="0.35">
      <c r="B508" s="186"/>
      <c r="C508" s="163"/>
      <c r="D508" s="188"/>
      <c r="E508" s="188"/>
      <c r="F508" s="188"/>
      <c r="G508" s="188"/>
      <c r="H508" s="188"/>
      <c r="I508" s="188"/>
      <c r="J508" s="188"/>
      <c r="K508" s="188"/>
      <c r="L508" s="188"/>
      <c r="M508" s="188"/>
      <c r="N508" s="188"/>
      <c r="O508" s="188"/>
      <c r="P508" s="188"/>
      <c r="Q508" s="188"/>
      <c r="R508" s="188"/>
      <c r="S508" s="188"/>
      <c r="T508" s="188"/>
      <c r="U508" s="189"/>
    </row>
    <row r="509" spans="2:21" x14ac:dyDescent="0.35">
      <c r="B509" s="186"/>
      <c r="C509" s="163"/>
      <c r="D509" s="188"/>
      <c r="E509" s="188"/>
      <c r="F509" s="188"/>
      <c r="G509" s="188"/>
      <c r="H509" s="188"/>
      <c r="I509" s="188"/>
      <c r="J509" s="188"/>
      <c r="K509" s="188"/>
      <c r="L509" s="188"/>
      <c r="M509" s="188"/>
      <c r="N509" s="188"/>
      <c r="O509" s="188"/>
      <c r="P509" s="188"/>
      <c r="Q509" s="188"/>
      <c r="R509" s="188"/>
      <c r="S509" s="188"/>
      <c r="T509" s="188"/>
      <c r="U509" s="189"/>
    </row>
    <row r="510" spans="2:21" x14ac:dyDescent="0.35">
      <c r="B510" s="186"/>
      <c r="C510" s="163"/>
      <c r="D510" s="188"/>
      <c r="E510" s="188"/>
      <c r="F510" s="188"/>
      <c r="G510" s="188"/>
      <c r="H510" s="188"/>
      <c r="I510" s="188"/>
      <c r="J510" s="188"/>
      <c r="K510" s="188"/>
      <c r="L510" s="188"/>
      <c r="M510" s="188"/>
      <c r="N510" s="188"/>
      <c r="O510" s="188"/>
      <c r="P510" s="188"/>
      <c r="Q510" s="188"/>
      <c r="R510" s="188"/>
      <c r="S510" s="188"/>
      <c r="T510" s="188"/>
      <c r="U510" s="189"/>
    </row>
    <row r="511" spans="2:21" x14ac:dyDescent="0.35">
      <c r="B511" s="186"/>
      <c r="C511" s="163"/>
      <c r="D511" s="188"/>
      <c r="E511" s="188"/>
      <c r="F511" s="188"/>
      <c r="G511" s="188"/>
      <c r="H511" s="188"/>
      <c r="I511" s="188"/>
      <c r="J511" s="188"/>
      <c r="K511" s="188"/>
      <c r="L511" s="188"/>
      <c r="M511" s="188"/>
      <c r="N511" s="188"/>
      <c r="O511" s="188"/>
      <c r="P511" s="188"/>
      <c r="Q511" s="188"/>
      <c r="R511" s="188"/>
      <c r="S511" s="188"/>
      <c r="T511" s="188"/>
      <c r="U511" s="189"/>
    </row>
    <row r="512" spans="2:21" x14ac:dyDescent="0.35">
      <c r="B512" s="186"/>
      <c r="C512" s="163"/>
      <c r="D512" s="188"/>
      <c r="E512" s="188"/>
      <c r="F512" s="188"/>
      <c r="G512" s="188"/>
      <c r="H512" s="188"/>
      <c r="I512" s="188"/>
      <c r="J512" s="188"/>
      <c r="K512" s="188"/>
      <c r="L512" s="188"/>
      <c r="M512" s="188"/>
      <c r="N512" s="188"/>
      <c r="O512" s="188"/>
      <c r="P512" s="188"/>
      <c r="Q512" s="188"/>
      <c r="R512" s="188"/>
      <c r="S512" s="188"/>
      <c r="T512" s="188"/>
      <c r="U512" s="189"/>
    </row>
    <row r="513" spans="2:21" x14ac:dyDescent="0.35">
      <c r="B513" s="186"/>
      <c r="C513" s="163"/>
      <c r="D513" s="188"/>
      <c r="E513" s="188"/>
      <c r="F513" s="188"/>
      <c r="G513" s="188"/>
      <c r="H513" s="188"/>
      <c r="I513" s="188"/>
      <c r="J513" s="188"/>
      <c r="K513" s="188"/>
      <c r="L513" s="188"/>
      <c r="M513" s="188"/>
      <c r="N513" s="188"/>
      <c r="O513" s="188"/>
      <c r="P513" s="188"/>
      <c r="Q513" s="188"/>
      <c r="R513" s="188"/>
      <c r="S513" s="188"/>
      <c r="T513" s="188"/>
      <c r="U513" s="189"/>
    </row>
    <row r="514" spans="2:21" x14ac:dyDescent="0.35">
      <c r="B514" s="186"/>
      <c r="C514" s="163"/>
      <c r="D514" s="188"/>
      <c r="E514" s="188"/>
      <c r="F514" s="188"/>
      <c r="G514" s="188"/>
      <c r="H514" s="188"/>
      <c r="I514" s="188"/>
      <c r="J514" s="188"/>
      <c r="K514" s="188"/>
      <c r="L514" s="188"/>
      <c r="M514" s="188"/>
      <c r="N514" s="188"/>
      <c r="O514" s="188"/>
      <c r="P514" s="188"/>
      <c r="Q514" s="188"/>
      <c r="R514" s="188"/>
      <c r="S514" s="188"/>
      <c r="T514" s="188"/>
      <c r="U514" s="189"/>
    </row>
    <row r="515" spans="2:21" x14ac:dyDescent="0.35">
      <c r="B515" s="186"/>
      <c r="C515" s="163"/>
      <c r="D515" s="188"/>
      <c r="E515" s="188"/>
      <c r="F515" s="188"/>
      <c r="G515" s="188"/>
      <c r="H515" s="188"/>
      <c r="I515" s="188"/>
      <c r="J515" s="188"/>
      <c r="K515" s="188"/>
      <c r="L515" s="188"/>
      <c r="M515" s="188"/>
      <c r="N515" s="188"/>
      <c r="O515" s="188"/>
      <c r="P515" s="188"/>
      <c r="Q515" s="188"/>
      <c r="R515" s="188"/>
      <c r="S515" s="188"/>
      <c r="T515" s="188"/>
      <c r="U515" s="189"/>
    </row>
    <row r="516" spans="2:21" x14ac:dyDescent="0.35">
      <c r="B516" s="186"/>
      <c r="C516" s="163"/>
      <c r="D516" s="188"/>
      <c r="E516" s="188"/>
      <c r="F516" s="188"/>
      <c r="G516" s="188"/>
      <c r="H516" s="188"/>
      <c r="I516" s="188"/>
      <c r="J516" s="188"/>
      <c r="K516" s="188"/>
      <c r="L516" s="188"/>
      <c r="M516" s="188"/>
      <c r="N516" s="188"/>
      <c r="O516" s="188"/>
      <c r="P516" s="188"/>
      <c r="Q516" s="188"/>
      <c r="R516" s="188"/>
      <c r="S516" s="188"/>
      <c r="T516" s="188"/>
      <c r="U516" s="189"/>
    </row>
    <row r="517" spans="2:21" x14ac:dyDescent="0.35">
      <c r="B517" s="186"/>
      <c r="C517" s="163"/>
      <c r="D517" s="188"/>
      <c r="E517" s="188"/>
      <c r="F517" s="188"/>
      <c r="G517" s="188"/>
      <c r="H517" s="188"/>
      <c r="I517" s="188"/>
      <c r="J517" s="188"/>
      <c r="K517" s="188"/>
      <c r="L517" s="188"/>
      <c r="M517" s="188"/>
      <c r="N517" s="188"/>
      <c r="O517" s="188"/>
      <c r="P517" s="188"/>
      <c r="Q517" s="188"/>
      <c r="R517" s="188"/>
      <c r="S517" s="188"/>
      <c r="T517" s="188"/>
      <c r="U517" s="189"/>
    </row>
    <row r="518" spans="2:21" x14ac:dyDescent="0.35">
      <c r="B518" s="186"/>
      <c r="C518" s="163"/>
      <c r="D518" s="188"/>
      <c r="E518" s="188"/>
      <c r="F518" s="188"/>
      <c r="G518" s="188"/>
      <c r="H518" s="188"/>
      <c r="I518" s="188"/>
      <c r="J518" s="188"/>
      <c r="K518" s="188"/>
      <c r="L518" s="188"/>
      <c r="M518" s="188"/>
      <c r="N518" s="188"/>
      <c r="O518" s="188"/>
      <c r="P518" s="188"/>
      <c r="Q518" s="188"/>
      <c r="R518" s="188"/>
      <c r="S518" s="188"/>
      <c r="T518" s="188"/>
      <c r="U518" s="189"/>
    </row>
    <row r="519" spans="2:21" x14ac:dyDescent="0.35">
      <c r="B519" s="186"/>
      <c r="C519" s="163"/>
      <c r="D519" s="188"/>
      <c r="E519" s="188"/>
      <c r="F519" s="188"/>
      <c r="G519" s="188"/>
      <c r="H519" s="188"/>
      <c r="I519" s="188"/>
      <c r="J519" s="188"/>
      <c r="K519" s="188"/>
      <c r="L519" s="188"/>
      <c r="M519" s="188"/>
      <c r="N519" s="188"/>
      <c r="O519" s="188"/>
      <c r="P519" s="188"/>
      <c r="Q519" s="188"/>
      <c r="R519" s="188"/>
      <c r="S519" s="188"/>
      <c r="T519" s="188"/>
      <c r="U519" s="189"/>
    </row>
    <row r="520" spans="2:21" x14ac:dyDescent="0.35">
      <c r="B520" s="186"/>
      <c r="C520" s="163"/>
      <c r="D520" s="188"/>
      <c r="E520" s="188"/>
      <c r="F520" s="188"/>
      <c r="G520" s="188"/>
      <c r="H520" s="188"/>
      <c r="I520" s="188"/>
      <c r="J520" s="188"/>
      <c r="K520" s="188"/>
      <c r="L520" s="188"/>
      <c r="M520" s="188"/>
      <c r="N520" s="188"/>
      <c r="O520" s="188"/>
      <c r="P520" s="188"/>
      <c r="Q520" s="188"/>
      <c r="R520" s="188"/>
      <c r="S520" s="188"/>
      <c r="T520" s="188"/>
      <c r="U520" s="189"/>
    </row>
    <row r="521" spans="2:21" x14ac:dyDescent="0.35">
      <c r="B521" s="186"/>
      <c r="C521" s="163"/>
      <c r="D521" s="188"/>
      <c r="E521" s="188"/>
      <c r="F521" s="188"/>
      <c r="G521" s="188"/>
      <c r="H521" s="188"/>
      <c r="I521" s="188"/>
      <c r="J521" s="188"/>
      <c r="K521" s="188"/>
      <c r="L521" s="188"/>
      <c r="M521" s="188"/>
      <c r="N521" s="188"/>
      <c r="O521" s="188"/>
      <c r="P521" s="188"/>
      <c r="Q521" s="188"/>
      <c r="R521" s="188"/>
      <c r="S521" s="188"/>
      <c r="T521" s="188"/>
      <c r="U521" s="189"/>
    </row>
    <row r="522" spans="2:21" x14ac:dyDescent="0.35">
      <c r="B522" s="186"/>
      <c r="C522" s="163"/>
      <c r="D522" s="188"/>
      <c r="E522" s="188"/>
      <c r="F522" s="188"/>
      <c r="G522" s="188"/>
      <c r="H522" s="188"/>
      <c r="I522" s="188"/>
      <c r="J522" s="188"/>
      <c r="K522" s="188"/>
      <c r="L522" s="188"/>
      <c r="M522" s="188"/>
      <c r="N522" s="188"/>
      <c r="O522" s="188"/>
      <c r="P522" s="188"/>
      <c r="Q522" s="188"/>
      <c r="R522" s="188"/>
      <c r="S522" s="188"/>
      <c r="T522" s="188"/>
      <c r="U522" s="189"/>
    </row>
    <row r="523" spans="2:21" x14ac:dyDescent="0.35">
      <c r="B523" s="186"/>
      <c r="C523" s="163"/>
      <c r="D523" s="188"/>
      <c r="E523" s="188"/>
      <c r="F523" s="188"/>
      <c r="G523" s="188"/>
      <c r="H523" s="188"/>
      <c r="I523" s="188"/>
      <c r="J523" s="188"/>
      <c r="K523" s="188"/>
      <c r="L523" s="188"/>
      <c r="M523" s="188"/>
      <c r="N523" s="188"/>
      <c r="O523" s="188"/>
      <c r="P523" s="188"/>
      <c r="Q523" s="188"/>
      <c r="R523" s="188"/>
      <c r="S523" s="188"/>
      <c r="T523" s="188"/>
      <c r="U523" s="189"/>
    </row>
    <row r="524" spans="2:21" x14ac:dyDescent="0.35">
      <c r="B524" s="186"/>
      <c r="C524" s="163"/>
      <c r="D524" s="188"/>
      <c r="E524" s="188"/>
      <c r="F524" s="188"/>
      <c r="G524" s="188"/>
      <c r="H524" s="188"/>
      <c r="I524" s="188"/>
      <c r="J524" s="188"/>
      <c r="K524" s="188"/>
      <c r="L524" s="188"/>
      <c r="M524" s="188"/>
      <c r="N524" s="188"/>
      <c r="O524" s="188"/>
      <c r="P524" s="188"/>
      <c r="Q524" s="188"/>
      <c r="R524" s="188"/>
      <c r="S524" s="188"/>
      <c r="T524" s="188"/>
      <c r="U524" s="189"/>
    </row>
    <row r="525" spans="2:21" x14ac:dyDescent="0.35">
      <c r="B525" s="186"/>
      <c r="C525" s="163"/>
      <c r="D525" s="188"/>
      <c r="E525" s="188"/>
      <c r="F525" s="188"/>
      <c r="G525" s="188"/>
      <c r="H525" s="188"/>
      <c r="I525" s="188"/>
      <c r="J525" s="188"/>
      <c r="K525" s="188"/>
      <c r="L525" s="188"/>
      <c r="M525" s="188"/>
      <c r="N525" s="188"/>
      <c r="O525" s="188"/>
      <c r="P525" s="188"/>
      <c r="Q525" s="188"/>
      <c r="R525" s="188"/>
      <c r="S525" s="188"/>
      <c r="T525" s="188"/>
      <c r="U525" s="189"/>
    </row>
    <row r="526" spans="2:21" x14ac:dyDescent="0.35">
      <c r="B526" s="186"/>
      <c r="C526" s="163"/>
      <c r="D526" s="188"/>
      <c r="E526" s="188"/>
      <c r="F526" s="188"/>
      <c r="G526" s="188"/>
      <c r="H526" s="188"/>
      <c r="I526" s="188"/>
      <c r="J526" s="188"/>
      <c r="K526" s="188"/>
      <c r="L526" s="188"/>
      <c r="M526" s="188"/>
      <c r="N526" s="188"/>
      <c r="O526" s="188"/>
      <c r="P526" s="188"/>
      <c r="Q526" s="188"/>
      <c r="R526" s="188"/>
      <c r="S526" s="188"/>
      <c r="T526" s="188"/>
      <c r="U526" s="189"/>
    </row>
    <row r="527" spans="2:21" x14ac:dyDescent="0.35">
      <c r="B527" s="186"/>
      <c r="C527" s="163"/>
      <c r="D527" s="188"/>
      <c r="E527" s="188"/>
      <c r="F527" s="188"/>
      <c r="G527" s="188"/>
      <c r="H527" s="188"/>
      <c r="I527" s="188"/>
      <c r="J527" s="188"/>
      <c r="K527" s="188"/>
      <c r="L527" s="188"/>
      <c r="M527" s="188"/>
      <c r="N527" s="188"/>
      <c r="O527" s="188"/>
      <c r="P527" s="188"/>
      <c r="Q527" s="188"/>
      <c r="R527" s="188"/>
      <c r="S527" s="188"/>
      <c r="T527" s="188"/>
      <c r="U527" s="189"/>
    </row>
    <row r="528" spans="2:21" x14ac:dyDescent="0.35">
      <c r="B528" s="186"/>
      <c r="C528" s="163"/>
      <c r="D528" s="188"/>
      <c r="E528" s="188"/>
      <c r="F528" s="188"/>
      <c r="G528" s="188"/>
      <c r="H528" s="188"/>
      <c r="I528" s="188"/>
      <c r="J528" s="188"/>
      <c r="K528" s="188"/>
      <c r="L528" s="188"/>
      <c r="M528" s="188"/>
      <c r="N528" s="188"/>
      <c r="O528" s="188"/>
      <c r="P528" s="188"/>
      <c r="Q528" s="188"/>
      <c r="R528" s="188"/>
      <c r="S528" s="188"/>
      <c r="T528" s="188"/>
      <c r="U528" s="189"/>
    </row>
    <row r="529" spans="2:21" x14ac:dyDescent="0.35">
      <c r="B529" s="186"/>
      <c r="C529" s="163"/>
      <c r="D529" s="188"/>
      <c r="E529" s="188"/>
      <c r="F529" s="188"/>
      <c r="G529" s="188"/>
      <c r="H529" s="188"/>
      <c r="I529" s="188"/>
      <c r="J529" s="188"/>
      <c r="K529" s="188"/>
      <c r="L529" s="188"/>
      <c r="M529" s="188"/>
      <c r="N529" s="188"/>
      <c r="O529" s="188"/>
      <c r="P529" s="188"/>
      <c r="Q529" s="188"/>
      <c r="R529" s="188"/>
      <c r="S529" s="188"/>
      <c r="T529" s="188"/>
      <c r="U529" s="189"/>
    </row>
    <row r="530" spans="2:21" x14ac:dyDescent="0.35">
      <c r="B530" s="186"/>
      <c r="C530" s="163"/>
      <c r="D530" s="188"/>
      <c r="E530" s="188"/>
      <c r="F530" s="188"/>
      <c r="G530" s="188"/>
      <c r="H530" s="188"/>
      <c r="I530" s="188"/>
      <c r="J530" s="188"/>
      <c r="K530" s="188"/>
      <c r="L530" s="188"/>
      <c r="M530" s="188"/>
      <c r="N530" s="188"/>
      <c r="O530" s="188"/>
      <c r="P530" s="188"/>
      <c r="Q530" s="188"/>
      <c r="R530" s="188"/>
      <c r="S530" s="188"/>
      <c r="T530" s="188"/>
      <c r="U530" s="189"/>
    </row>
    <row r="531" spans="2:21" x14ac:dyDescent="0.35">
      <c r="B531" s="186"/>
      <c r="C531" s="163"/>
      <c r="D531" s="188"/>
      <c r="E531" s="188"/>
      <c r="F531" s="188"/>
      <c r="G531" s="188"/>
      <c r="H531" s="188"/>
      <c r="I531" s="188"/>
      <c r="J531" s="188"/>
      <c r="K531" s="188"/>
      <c r="L531" s="188"/>
      <c r="M531" s="188"/>
      <c r="N531" s="188"/>
      <c r="O531" s="188"/>
      <c r="P531" s="188"/>
      <c r="Q531" s="188"/>
      <c r="R531" s="188"/>
      <c r="S531" s="188"/>
      <c r="T531" s="188"/>
      <c r="U531" s="189"/>
    </row>
    <row r="532" spans="2:21" x14ac:dyDescent="0.35">
      <c r="B532" s="186"/>
      <c r="C532" s="163"/>
      <c r="D532" s="188"/>
      <c r="E532" s="188"/>
      <c r="F532" s="188"/>
      <c r="G532" s="188"/>
      <c r="H532" s="188"/>
      <c r="I532" s="188"/>
      <c r="J532" s="188"/>
      <c r="K532" s="188"/>
      <c r="L532" s="188"/>
      <c r="M532" s="188"/>
      <c r="N532" s="188"/>
      <c r="O532" s="188"/>
      <c r="P532" s="188"/>
      <c r="Q532" s="188"/>
      <c r="R532" s="188"/>
      <c r="S532" s="188"/>
      <c r="T532" s="188"/>
      <c r="U532" s="189"/>
    </row>
    <row r="533" spans="2:21" x14ac:dyDescent="0.35">
      <c r="B533" s="186"/>
      <c r="C533" s="163"/>
      <c r="D533" s="188"/>
      <c r="E533" s="188"/>
      <c r="F533" s="188"/>
      <c r="G533" s="188"/>
      <c r="H533" s="188"/>
      <c r="I533" s="188"/>
      <c r="J533" s="188"/>
      <c r="K533" s="188"/>
      <c r="L533" s="188"/>
      <c r="M533" s="188"/>
      <c r="N533" s="188"/>
      <c r="O533" s="188"/>
      <c r="P533" s="188"/>
      <c r="Q533" s="188"/>
      <c r="R533" s="188"/>
      <c r="S533" s="188"/>
      <c r="T533" s="188"/>
      <c r="U533" s="189"/>
    </row>
    <row r="534" spans="2:21" x14ac:dyDescent="0.35">
      <c r="B534" s="186"/>
      <c r="C534" s="163"/>
      <c r="D534" s="188"/>
      <c r="E534" s="188"/>
      <c r="F534" s="188"/>
      <c r="G534" s="188"/>
      <c r="H534" s="188"/>
      <c r="I534" s="188"/>
      <c r="J534" s="188"/>
      <c r="K534" s="188"/>
      <c r="L534" s="188"/>
      <c r="M534" s="188"/>
      <c r="N534" s="188"/>
      <c r="O534" s="188"/>
      <c r="P534" s="188"/>
      <c r="Q534" s="188"/>
      <c r="R534" s="188"/>
      <c r="S534" s="188"/>
      <c r="T534" s="188"/>
      <c r="U534" s="189"/>
    </row>
    <row r="535" spans="2:21" x14ac:dyDescent="0.35">
      <c r="B535" s="186"/>
      <c r="C535" s="163"/>
      <c r="D535" s="188"/>
      <c r="E535" s="188"/>
      <c r="F535" s="188"/>
      <c r="G535" s="188"/>
      <c r="H535" s="188"/>
      <c r="I535" s="188"/>
      <c r="J535" s="188"/>
      <c r="K535" s="188"/>
      <c r="L535" s="188"/>
      <c r="M535" s="188"/>
      <c r="N535" s="188"/>
      <c r="O535" s="188"/>
      <c r="P535" s="188"/>
      <c r="Q535" s="188"/>
      <c r="R535" s="188"/>
      <c r="S535" s="188"/>
      <c r="T535" s="188"/>
      <c r="U535" s="189"/>
    </row>
    <row r="536" spans="2:21" x14ac:dyDescent="0.35">
      <c r="B536" s="186"/>
      <c r="C536" s="163"/>
      <c r="D536" s="188"/>
      <c r="E536" s="188"/>
      <c r="F536" s="188"/>
      <c r="G536" s="188"/>
      <c r="H536" s="188"/>
      <c r="I536" s="188"/>
      <c r="J536" s="188"/>
      <c r="K536" s="188"/>
      <c r="L536" s="188"/>
      <c r="M536" s="188"/>
      <c r="N536" s="188"/>
      <c r="O536" s="188"/>
      <c r="P536" s="188"/>
      <c r="Q536" s="188"/>
      <c r="R536" s="188"/>
      <c r="S536" s="188"/>
      <c r="T536" s="188"/>
      <c r="U536" s="189"/>
    </row>
    <row r="537" spans="2:21" x14ac:dyDescent="0.35">
      <c r="B537" s="186"/>
      <c r="C537" s="163"/>
      <c r="D537" s="188"/>
      <c r="E537" s="188"/>
      <c r="F537" s="188"/>
      <c r="G537" s="188"/>
      <c r="H537" s="188"/>
      <c r="I537" s="188"/>
      <c r="J537" s="188"/>
      <c r="K537" s="188"/>
      <c r="L537" s="188"/>
      <c r="M537" s="188"/>
      <c r="N537" s="188"/>
      <c r="O537" s="188"/>
      <c r="P537" s="188"/>
      <c r="Q537" s="188"/>
      <c r="R537" s="188"/>
      <c r="S537" s="188"/>
      <c r="T537" s="188"/>
      <c r="U537" s="189"/>
    </row>
    <row r="538" spans="2:21" x14ac:dyDescent="0.35">
      <c r="D538" s="189"/>
      <c r="E538" s="189"/>
      <c r="F538" s="189"/>
      <c r="G538" s="189"/>
      <c r="H538" s="189"/>
      <c r="I538" s="189"/>
      <c r="J538" s="189"/>
      <c r="K538" s="189"/>
      <c r="L538" s="189"/>
      <c r="M538" s="189"/>
      <c r="N538" s="189"/>
      <c r="O538" s="189"/>
      <c r="P538" s="189"/>
      <c r="Q538" s="189"/>
      <c r="R538" s="189"/>
      <c r="S538" s="189"/>
      <c r="T538" s="189"/>
      <c r="U538" s="189"/>
    </row>
    <row r="539" spans="2:21" x14ac:dyDescent="0.35">
      <c r="D539" s="189"/>
      <c r="E539" s="189"/>
      <c r="F539" s="189"/>
      <c r="G539" s="189"/>
      <c r="H539" s="189"/>
      <c r="I539" s="189"/>
      <c r="J539" s="189"/>
      <c r="K539" s="189"/>
      <c r="L539" s="189"/>
      <c r="M539" s="189"/>
      <c r="N539" s="189"/>
      <c r="O539" s="189"/>
      <c r="P539" s="189"/>
      <c r="Q539" s="189"/>
      <c r="R539" s="189"/>
      <c r="S539" s="189"/>
      <c r="T539" s="189"/>
      <c r="U539" s="189"/>
    </row>
    <row r="540" spans="2:21" x14ac:dyDescent="0.35">
      <c r="D540" s="189"/>
      <c r="E540" s="189"/>
      <c r="F540" s="189"/>
      <c r="G540" s="189"/>
      <c r="H540" s="189"/>
      <c r="I540" s="189"/>
      <c r="J540" s="189"/>
      <c r="K540" s="189"/>
      <c r="L540" s="189"/>
      <c r="M540" s="189"/>
      <c r="N540" s="189"/>
      <c r="O540" s="189"/>
      <c r="P540" s="189"/>
      <c r="Q540" s="189"/>
      <c r="R540" s="189"/>
      <c r="S540" s="189"/>
      <c r="T540" s="189"/>
      <c r="U540" s="189"/>
    </row>
    <row r="541" spans="2:21" x14ac:dyDescent="0.35">
      <c r="D541" s="189"/>
      <c r="E541" s="189"/>
      <c r="F541" s="189"/>
      <c r="G541" s="189"/>
      <c r="H541" s="189"/>
      <c r="I541" s="189"/>
      <c r="J541" s="189"/>
      <c r="K541" s="189"/>
      <c r="L541" s="189"/>
      <c r="M541" s="189"/>
      <c r="N541" s="189"/>
      <c r="O541" s="189"/>
      <c r="P541" s="189"/>
      <c r="Q541" s="189"/>
      <c r="R541" s="189"/>
      <c r="S541" s="189"/>
      <c r="T541" s="189"/>
      <c r="U541" s="189"/>
    </row>
    <row r="542" spans="2:21" x14ac:dyDescent="0.35">
      <c r="D542" s="189"/>
      <c r="E542" s="189"/>
      <c r="F542" s="189"/>
      <c r="G542" s="189"/>
      <c r="H542" s="189"/>
      <c r="I542" s="189"/>
      <c r="J542" s="189"/>
      <c r="K542" s="189"/>
      <c r="L542" s="189"/>
      <c r="M542" s="189"/>
      <c r="N542" s="189"/>
      <c r="O542" s="189"/>
      <c r="P542" s="189"/>
      <c r="Q542" s="189"/>
      <c r="R542" s="189"/>
      <c r="S542" s="189"/>
      <c r="T542" s="189"/>
      <c r="U542" s="189"/>
    </row>
    <row r="543" spans="2:21" x14ac:dyDescent="0.35">
      <c r="D543" s="189"/>
      <c r="E543" s="189"/>
      <c r="F543" s="189"/>
      <c r="G543" s="189"/>
      <c r="H543" s="189"/>
      <c r="I543" s="189"/>
      <c r="J543" s="189"/>
      <c r="K543" s="189"/>
      <c r="L543" s="189"/>
      <c r="M543" s="189"/>
      <c r="N543" s="189"/>
      <c r="O543" s="189"/>
      <c r="P543" s="189"/>
      <c r="Q543" s="189"/>
      <c r="R543" s="189"/>
      <c r="S543" s="189"/>
      <c r="T543" s="189"/>
      <c r="U543" s="189"/>
    </row>
    <row r="544" spans="2:21" x14ac:dyDescent="0.35">
      <c r="D544" s="189"/>
      <c r="E544" s="189"/>
      <c r="F544" s="189"/>
      <c r="G544" s="189"/>
      <c r="H544" s="189"/>
      <c r="I544" s="189"/>
      <c r="J544" s="189"/>
      <c r="K544" s="189"/>
      <c r="L544" s="189"/>
      <c r="M544" s="189"/>
      <c r="N544" s="189"/>
      <c r="O544" s="189"/>
      <c r="P544" s="189"/>
      <c r="Q544" s="189"/>
      <c r="R544" s="189"/>
      <c r="S544" s="189"/>
      <c r="T544" s="189"/>
      <c r="U544" s="189"/>
    </row>
    <row r="545" spans="4:21" x14ac:dyDescent="0.35">
      <c r="D545" s="189"/>
      <c r="E545" s="189"/>
      <c r="F545" s="189"/>
      <c r="G545" s="189"/>
      <c r="H545" s="189"/>
      <c r="I545" s="189"/>
      <c r="J545" s="189"/>
      <c r="K545" s="189"/>
      <c r="L545" s="189"/>
      <c r="M545" s="189"/>
      <c r="N545" s="189"/>
      <c r="O545" s="189"/>
      <c r="P545" s="189"/>
      <c r="Q545" s="189"/>
      <c r="R545" s="189"/>
      <c r="S545" s="189"/>
      <c r="T545" s="189"/>
      <c r="U545" s="189"/>
    </row>
    <row r="546" spans="4:21" x14ac:dyDescent="0.35">
      <c r="D546" s="189"/>
      <c r="E546" s="189"/>
      <c r="F546" s="189"/>
      <c r="G546" s="189"/>
      <c r="H546" s="189"/>
      <c r="I546" s="189"/>
      <c r="J546" s="189"/>
      <c r="K546" s="189"/>
      <c r="L546" s="189"/>
      <c r="M546" s="189"/>
      <c r="N546" s="189"/>
      <c r="O546" s="189"/>
      <c r="P546" s="189"/>
      <c r="Q546" s="189"/>
      <c r="R546" s="189"/>
      <c r="S546" s="189"/>
      <c r="T546" s="189"/>
      <c r="U546" s="189"/>
    </row>
    <row r="547" spans="4:21" x14ac:dyDescent="0.35">
      <c r="D547" s="189"/>
      <c r="E547" s="189"/>
      <c r="F547" s="189"/>
      <c r="G547" s="189"/>
      <c r="H547" s="189"/>
      <c r="I547" s="189"/>
      <c r="J547" s="189"/>
      <c r="K547" s="189"/>
      <c r="L547" s="189"/>
      <c r="M547" s="189"/>
      <c r="N547" s="189"/>
      <c r="O547" s="189"/>
      <c r="P547" s="189"/>
      <c r="Q547" s="189"/>
      <c r="R547" s="189"/>
      <c r="S547" s="189"/>
      <c r="T547" s="189"/>
      <c r="U547" s="189"/>
    </row>
    <row r="548" spans="4:21" x14ac:dyDescent="0.35">
      <c r="D548" s="189"/>
      <c r="E548" s="189"/>
      <c r="F548" s="189"/>
      <c r="G548" s="189"/>
      <c r="H548" s="189"/>
      <c r="I548" s="189"/>
      <c r="J548" s="189"/>
      <c r="K548" s="189"/>
      <c r="L548" s="189"/>
      <c r="M548" s="189"/>
      <c r="N548" s="189"/>
      <c r="O548" s="189"/>
      <c r="P548" s="189"/>
      <c r="Q548" s="189"/>
      <c r="R548" s="189"/>
      <c r="S548" s="189"/>
      <c r="T548" s="189"/>
      <c r="U548" s="189"/>
    </row>
    <row r="549" spans="4:21" x14ac:dyDescent="0.35">
      <c r="D549" s="189"/>
      <c r="E549" s="189"/>
      <c r="F549" s="189"/>
      <c r="G549" s="189"/>
      <c r="H549" s="189"/>
      <c r="I549" s="189"/>
      <c r="J549" s="189"/>
      <c r="K549" s="189"/>
      <c r="L549" s="189"/>
      <c r="M549" s="189"/>
      <c r="N549" s="189"/>
      <c r="O549" s="189"/>
      <c r="P549" s="189"/>
      <c r="Q549" s="189"/>
      <c r="R549" s="189"/>
      <c r="S549" s="189"/>
      <c r="T549" s="189"/>
      <c r="U549" s="189"/>
    </row>
    <row r="550" spans="4:21" x14ac:dyDescent="0.35">
      <c r="D550" s="189"/>
      <c r="E550" s="189"/>
      <c r="F550" s="189"/>
      <c r="G550" s="189"/>
      <c r="H550" s="189"/>
      <c r="I550" s="189"/>
      <c r="J550" s="189"/>
      <c r="K550" s="189"/>
      <c r="L550" s="189"/>
      <c r="M550" s="189"/>
      <c r="N550" s="189"/>
      <c r="O550" s="189"/>
      <c r="P550" s="189"/>
      <c r="Q550" s="189"/>
      <c r="R550" s="189"/>
      <c r="S550" s="189"/>
      <c r="T550" s="189"/>
      <c r="U550" s="189"/>
    </row>
    <row r="551" spans="4:21" x14ac:dyDescent="0.35">
      <c r="D551" s="189"/>
      <c r="E551" s="189"/>
      <c r="F551" s="189"/>
      <c r="G551" s="189"/>
      <c r="H551" s="189"/>
      <c r="I551" s="189"/>
      <c r="J551" s="189"/>
      <c r="K551" s="189"/>
      <c r="L551" s="189"/>
      <c r="M551" s="189"/>
      <c r="N551" s="189"/>
      <c r="O551" s="189"/>
      <c r="P551" s="189"/>
      <c r="Q551" s="189"/>
      <c r="R551" s="189"/>
      <c r="S551" s="189"/>
      <c r="T551" s="189"/>
      <c r="U551" s="189"/>
    </row>
    <row r="552" spans="4:21" x14ac:dyDescent="0.35">
      <c r="D552" s="189"/>
      <c r="E552" s="189"/>
      <c r="F552" s="189"/>
      <c r="G552" s="189"/>
      <c r="H552" s="189"/>
      <c r="I552" s="189"/>
      <c r="J552" s="189"/>
      <c r="K552" s="189"/>
      <c r="L552" s="189"/>
      <c r="M552" s="189"/>
      <c r="N552" s="189"/>
      <c r="O552" s="189"/>
      <c r="P552" s="189"/>
      <c r="Q552" s="189"/>
      <c r="R552" s="189"/>
      <c r="S552" s="189"/>
      <c r="T552" s="189"/>
      <c r="U552" s="189"/>
    </row>
    <row r="553" spans="4:21" x14ac:dyDescent="0.35">
      <c r="D553" s="189"/>
      <c r="E553" s="189"/>
      <c r="F553" s="189"/>
      <c r="G553" s="189"/>
      <c r="H553" s="189"/>
      <c r="I553" s="189"/>
      <c r="J553" s="189"/>
      <c r="K553" s="189"/>
      <c r="L553" s="189"/>
      <c r="M553" s="189"/>
      <c r="N553" s="189"/>
      <c r="O553" s="189"/>
      <c r="P553" s="189"/>
      <c r="Q553" s="189"/>
      <c r="R553" s="189"/>
      <c r="S553" s="189"/>
      <c r="T553" s="189"/>
      <c r="U553" s="189"/>
    </row>
    <row r="554" spans="4:21" x14ac:dyDescent="0.35">
      <c r="D554" s="189"/>
      <c r="E554" s="189"/>
      <c r="F554" s="189"/>
      <c r="G554" s="189"/>
      <c r="H554" s="189"/>
      <c r="I554" s="189"/>
      <c r="J554" s="189"/>
      <c r="K554" s="189"/>
      <c r="L554" s="189"/>
      <c r="M554" s="189"/>
      <c r="N554" s="189"/>
      <c r="O554" s="189"/>
      <c r="P554" s="189"/>
      <c r="Q554" s="189"/>
      <c r="R554" s="189"/>
      <c r="S554" s="189"/>
      <c r="T554" s="189"/>
      <c r="U554" s="189"/>
    </row>
    <row r="555" spans="4:21" x14ac:dyDescent="0.35">
      <c r="D555" s="189"/>
      <c r="E555" s="189"/>
      <c r="F555" s="189"/>
      <c r="G555" s="189"/>
      <c r="H555" s="189"/>
      <c r="I555" s="189"/>
      <c r="J555" s="189"/>
      <c r="K555" s="189"/>
      <c r="L555" s="189"/>
      <c r="M555" s="189"/>
      <c r="N555" s="189"/>
      <c r="O555" s="189"/>
      <c r="P555" s="189"/>
      <c r="Q555" s="189"/>
      <c r="R555" s="189"/>
      <c r="S555" s="189"/>
      <c r="T555" s="189"/>
      <c r="U555" s="189"/>
    </row>
    <row r="556" spans="4:21" x14ac:dyDescent="0.35">
      <c r="D556" s="189"/>
      <c r="E556" s="189"/>
      <c r="F556" s="189"/>
      <c r="G556" s="189"/>
      <c r="H556" s="189"/>
      <c r="I556" s="189"/>
      <c r="J556" s="189"/>
      <c r="K556" s="189"/>
      <c r="L556" s="189"/>
      <c r="M556" s="189"/>
      <c r="N556" s="189"/>
      <c r="O556" s="189"/>
      <c r="P556" s="189"/>
      <c r="Q556" s="189"/>
      <c r="R556" s="189"/>
      <c r="S556" s="189"/>
      <c r="T556" s="189"/>
      <c r="U556" s="189"/>
    </row>
    <row r="557" spans="4:21" x14ac:dyDescent="0.35">
      <c r="D557" s="189"/>
      <c r="E557" s="189"/>
      <c r="F557" s="189"/>
      <c r="G557" s="189"/>
      <c r="H557" s="189"/>
      <c r="I557" s="189"/>
      <c r="J557" s="189"/>
      <c r="K557" s="189"/>
      <c r="L557" s="189"/>
      <c r="M557" s="189"/>
      <c r="N557" s="189"/>
      <c r="O557" s="189"/>
      <c r="P557" s="189"/>
      <c r="Q557" s="189"/>
      <c r="R557" s="189"/>
      <c r="S557" s="189"/>
      <c r="T557" s="189"/>
      <c r="U557" s="189"/>
    </row>
    <row r="558" spans="4:21" x14ac:dyDescent="0.35">
      <c r="D558" s="189"/>
      <c r="E558" s="189"/>
      <c r="F558" s="189"/>
      <c r="G558" s="189"/>
      <c r="H558" s="189"/>
      <c r="I558" s="189"/>
      <c r="J558" s="189"/>
      <c r="K558" s="189"/>
      <c r="L558" s="189"/>
      <c r="M558" s="189"/>
      <c r="N558" s="189"/>
      <c r="O558" s="189"/>
      <c r="P558" s="189"/>
      <c r="Q558" s="189"/>
      <c r="R558" s="189"/>
      <c r="S558" s="189"/>
      <c r="T558" s="189"/>
      <c r="U558" s="189"/>
    </row>
    <row r="559" spans="4:21" x14ac:dyDescent="0.35">
      <c r="D559" s="189"/>
      <c r="E559" s="189"/>
      <c r="F559" s="189"/>
      <c r="G559" s="189"/>
      <c r="H559" s="189"/>
      <c r="I559" s="189"/>
      <c r="J559" s="189"/>
      <c r="K559" s="189"/>
      <c r="L559" s="189"/>
      <c r="M559" s="189"/>
      <c r="N559" s="189"/>
      <c r="O559" s="189"/>
      <c r="P559" s="189"/>
      <c r="Q559" s="189"/>
      <c r="R559" s="189"/>
      <c r="S559" s="189"/>
      <c r="T559" s="189"/>
      <c r="U559" s="189"/>
    </row>
    <row r="560" spans="4:21" x14ac:dyDescent="0.35">
      <c r="D560" s="189"/>
      <c r="E560" s="189"/>
      <c r="F560" s="189"/>
      <c r="G560" s="189"/>
      <c r="H560" s="189"/>
      <c r="I560" s="189"/>
      <c r="J560" s="189"/>
      <c r="K560" s="189"/>
      <c r="L560" s="189"/>
      <c r="M560" s="189"/>
      <c r="N560" s="189"/>
      <c r="O560" s="189"/>
      <c r="P560" s="189"/>
      <c r="Q560" s="189"/>
      <c r="R560" s="189"/>
      <c r="S560" s="189"/>
      <c r="T560" s="189"/>
      <c r="U560" s="189"/>
    </row>
    <row r="561" spans="4:21" x14ac:dyDescent="0.35">
      <c r="D561" s="189"/>
      <c r="E561" s="189"/>
      <c r="F561" s="189"/>
      <c r="G561" s="189"/>
      <c r="H561" s="189"/>
      <c r="I561" s="189"/>
      <c r="J561" s="189"/>
      <c r="K561" s="189"/>
      <c r="L561" s="189"/>
      <c r="M561" s="189"/>
      <c r="N561" s="189"/>
      <c r="O561" s="189"/>
      <c r="P561" s="189"/>
      <c r="Q561" s="189"/>
      <c r="R561" s="189"/>
      <c r="S561" s="189"/>
      <c r="T561" s="189"/>
      <c r="U561" s="189"/>
    </row>
    <row r="562" spans="4:21" x14ac:dyDescent="0.35">
      <c r="D562" s="189"/>
      <c r="E562" s="189"/>
      <c r="F562" s="189"/>
      <c r="G562" s="189"/>
      <c r="H562" s="189"/>
      <c r="I562" s="189"/>
      <c r="J562" s="189"/>
      <c r="K562" s="189"/>
      <c r="L562" s="189"/>
      <c r="M562" s="189"/>
      <c r="N562" s="189"/>
      <c r="O562" s="189"/>
      <c r="P562" s="189"/>
      <c r="Q562" s="189"/>
      <c r="R562" s="189"/>
      <c r="S562" s="189"/>
      <c r="T562" s="189"/>
      <c r="U562" s="189"/>
    </row>
    <row r="563" spans="4:21" x14ac:dyDescent="0.35">
      <c r="D563" s="189"/>
      <c r="E563" s="189"/>
      <c r="F563" s="189"/>
      <c r="G563" s="189"/>
      <c r="H563" s="189"/>
      <c r="I563" s="189"/>
      <c r="J563" s="189"/>
      <c r="K563" s="189"/>
      <c r="L563" s="189"/>
      <c r="M563" s="189"/>
      <c r="N563" s="189"/>
      <c r="O563" s="189"/>
      <c r="P563" s="189"/>
      <c r="Q563" s="189"/>
      <c r="R563" s="189"/>
      <c r="S563" s="189"/>
      <c r="T563" s="189"/>
      <c r="U563" s="189"/>
    </row>
    <row r="564" spans="4:21" x14ac:dyDescent="0.35">
      <c r="D564" s="189"/>
      <c r="E564" s="189"/>
      <c r="F564" s="189"/>
      <c r="G564" s="189"/>
      <c r="H564" s="189"/>
      <c r="I564" s="189"/>
      <c r="J564" s="189"/>
      <c r="K564" s="189"/>
      <c r="L564" s="189"/>
      <c r="M564" s="189"/>
      <c r="N564" s="189"/>
      <c r="O564" s="189"/>
      <c r="P564" s="189"/>
      <c r="Q564" s="189"/>
      <c r="R564" s="189"/>
      <c r="S564" s="189"/>
      <c r="T564" s="189"/>
      <c r="U564" s="189"/>
    </row>
    <row r="565" spans="4:21" x14ac:dyDescent="0.35">
      <c r="D565" s="189"/>
      <c r="E565" s="189"/>
      <c r="F565" s="189"/>
      <c r="G565" s="189"/>
      <c r="H565" s="189"/>
      <c r="I565" s="189"/>
      <c r="J565" s="189"/>
      <c r="K565" s="189"/>
      <c r="L565" s="189"/>
      <c r="M565" s="189"/>
      <c r="N565" s="189"/>
      <c r="O565" s="189"/>
      <c r="P565" s="189"/>
      <c r="Q565" s="189"/>
      <c r="R565" s="189"/>
      <c r="S565" s="189"/>
      <c r="T565" s="189"/>
      <c r="U565" s="189"/>
    </row>
    <row r="566" spans="4:21" x14ac:dyDescent="0.35">
      <c r="D566" s="189"/>
      <c r="E566" s="189"/>
      <c r="F566" s="189"/>
      <c r="G566" s="189"/>
      <c r="H566" s="189"/>
      <c r="I566" s="189"/>
      <c r="J566" s="189"/>
      <c r="K566" s="189"/>
      <c r="L566" s="189"/>
      <c r="M566" s="189"/>
      <c r="N566" s="189"/>
      <c r="O566" s="189"/>
      <c r="P566" s="189"/>
      <c r="Q566" s="189"/>
      <c r="R566" s="189"/>
      <c r="S566" s="189"/>
      <c r="T566" s="189"/>
      <c r="U566" s="189"/>
    </row>
    <row r="567" spans="4:21" x14ac:dyDescent="0.35">
      <c r="D567" s="189"/>
      <c r="E567" s="189"/>
      <c r="F567" s="189"/>
      <c r="G567" s="189"/>
      <c r="H567" s="189"/>
      <c r="I567" s="189"/>
      <c r="J567" s="189"/>
      <c r="K567" s="189"/>
      <c r="L567" s="189"/>
      <c r="M567" s="189"/>
      <c r="N567" s="189"/>
      <c r="O567" s="189"/>
      <c r="P567" s="189"/>
      <c r="Q567" s="189"/>
      <c r="R567" s="189"/>
      <c r="S567" s="189"/>
      <c r="T567" s="189"/>
      <c r="U567" s="189"/>
    </row>
    <row r="568" spans="4:21" x14ac:dyDescent="0.35">
      <c r="D568" s="189"/>
      <c r="E568" s="189"/>
      <c r="F568" s="189"/>
      <c r="G568" s="189"/>
      <c r="H568" s="189"/>
      <c r="I568" s="189"/>
      <c r="J568" s="189"/>
      <c r="K568" s="189"/>
      <c r="L568" s="189"/>
      <c r="M568" s="189"/>
      <c r="N568" s="189"/>
      <c r="O568" s="189"/>
      <c r="P568" s="189"/>
      <c r="Q568" s="189"/>
      <c r="R568" s="189"/>
      <c r="S568" s="189"/>
      <c r="T568" s="189"/>
      <c r="U568" s="189"/>
    </row>
    <row r="569" spans="4:21" x14ac:dyDescent="0.35">
      <c r="D569" s="189"/>
      <c r="E569" s="189"/>
      <c r="F569" s="189"/>
      <c r="G569" s="189"/>
      <c r="H569" s="189"/>
      <c r="I569" s="189"/>
      <c r="J569" s="189"/>
      <c r="K569" s="189"/>
      <c r="L569" s="189"/>
      <c r="M569" s="189"/>
      <c r="N569" s="189"/>
      <c r="O569" s="189"/>
      <c r="P569" s="189"/>
      <c r="Q569" s="189"/>
      <c r="R569" s="189"/>
      <c r="S569" s="189"/>
      <c r="T569" s="189"/>
      <c r="U569" s="189"/>
    </row>
    <row r="570" spans="4:21" x14ac:dyDescent="0.35">
      <c r="D570" s="189"/>
      <c r="E570" s="189"/>
      <c r="F570" s="189"/>
      <c r="G570" s="189"/>
      <c r="H570" s="189"/>
      <c r="I570" s="189"/>
      <c r="J570" s="189"/>
      <c r="K570" s="189"/>
      <c r="L570" s="189"/>
      <c r="M570" s="189"/>
      <c r="N570" s="189"/>
      <c r="O570" s="189"/>
      <c r="P570" s="189"/>
      <c r="Q570" s="189"/>
      <c r="R570" s="189"/>
      <c r="S570" s="189"/>
      <c r="T570" s="189"/>
      <c r="U570" s="189"/>
    </row>
    <row r="571" spans="4:21" x14ac:dyDescent="0.35">
      <c r="D571" s="189"/>
      <c r="E571" s="189"/>
      <c r="F571" s="189"/>
      <c r="G571" s="189"/>
      <c r="H571" s="189"/>
      <c r="I571" s="189"/>
      <c r="J571" s="189"/>
      <c r="K571" s="189"/>
      <c r="L571" s="189"/>
      <c r="M571" s="189"/>
      <c r="N571" s="189"/>
      <c r="O571" s="189"/>
      <c r="P571" s="189"/>
      <c r="Q571" s="189"/>
      <c r="R571" s="189"/>
      <c r="S571" s="189"/>
      <c r="T571" s="189"/>
      <c r="U571" s="189"/>
    </row>
    <row r="572" spans="4:21" x14ac:dyDescent="0.35">
      <c r="D572" s="189"/>
      <c r="E572" s="189"/>
      <c r="F572" s="189"/>
      <c r="G572" s="189"/>
      <c r="H572" s="189"/>
      <c r="I572" s="189"/>
      <c r="J572" s="189"/>
      <c r="K572" s="189"/>
      <c r="L572" s="189"/>
      <c r="M572" s="189"/>
      <c r="N572" s="189"/>
      <c r="O572" s="189"/>
      <c r="P572" s="189"/>
      <c r="Q572" s="189"/>
      <c r="R572" s="189"/>
      <c r="S572" s="189"/>
      <c r="T572" s="189"/>
      <c r="U572" s="189"/>
    </row>
    <row r="573" spans="4:21" x14ac:dyDescent="0.35">
      <c r="D573" s="189"/>
      <c r="E573" s="189"/>
      <c r="F573" s="189"/>
      <c r="G573" s="189"/>
      <c r="H573" s="189"/>
      <c r="I573" s="189"/>
      <c r="J573" s="189"/>
      <c r="K573" s="189"/>
      <c r="L573" s="189"/>
      <c r="M573" s="189"/>
      <c r="N573" s="189"/>
      <c r="O573" s="189"/>
      <c r="P573" s="189"/>
      <c r="Q573" s="189"/>
      <c r="R573" s="189"/>
      <c r="S573" s="189"/>
      <c r="T573" s="189"/>
      <c r="U573" s="189"/>
    </row>
    <row r="574" spans="4:21" x14ac:dyDescent="0.35">
      <c r="D574" s="189"/>
      <c r="E574" s="189"/>
      <c r="F574" s="189"/>
      <c r="G574" s="189"/>
      <c r="H574" s="189"/>
      <c r="I574" s="189"/>
      <c r="J574" s="189"/>
      <c r="K574" s="189"/>
      <c r="L574" s="189"/>
      <c r="M574" s="189"/>
      <c r="N574" s="189"/>
      <c r="O574" s="189"/>
      <c r="P574" s="189"/>
      <c r="Q574" s="189"/>
      <c r="R574" s="189"/>
      <c r="S574" s="189"/>
      <c r="T574" s="189"/>
      <c r="U574" s="189"/>
    </row>
    <row r="575" spans="4:21" x14ac:dyDescent="0.35">
      <c r="D575" s="189"/>
      <c r="E575" s="189"/>
      <c r="F575" s="189"/>
      <c r="G575" s="189"/>
      <c r="H575" s="189"/>
      <c r="I575" s="189"/>
      <c r="J575" s="189"/>
      <c r="K575" s="189"/>
      <c r="L575" s="189"/>
      <c r="M575" s="189"/>
      <c r="N575" s="189"/>
      <c r="O575" s="189"/>
      <c r="P575" s="189"/>
      <c r="Q575" s="189"/>
      <c r="R575" s="189"/>
      <c r="S575" s="189"/>
      <c r="T575" s="189"/>
      <c r="U575" s="189"/>
    </row>
    <row r="576" spans="4:21" x14ac:dyDescent="0.35">
      <c r="D576" s="189"/>
      <c r="E576" s="189"/>
      <c r="F576" s="189"/>
      <c r="G576" s="189"/>
      <c r="H576" s="189"/>
      <c r="I576" s="189"/>
      <c r="J576" s="189"/>
      <c r="K576" s="189"/>
      <c r="L576" s="189"/>
      <c r="M576" s="189"/>
      <c r="N576" s="189"/>
      <c r="O576" s="189"/>
      <c r="P576" s="189"/>
      <c r="Q576" s="189"/>
      <c r="R576" s="189"/>
      <c r="S576" s="189"/>
      <c r="T576" s="189"/>
      <c r="U576" s="189"/>
    </row>
    <row r="577" spans="4:21" x14ac:dyDescent="0.35">
      <c r="D577" s="189"/>
      <c r="E577" s="189"/>
      <c r="F577" s="189"/>
      <c r="G577" s="189"/>
      <c r="H577" s="189"/>
      <c r="I577" s="189"/>
      <c r="J577" s="189"/>
      <c r="K577" s="189"/>
      <c r="L577" s="189"/>
      <c r="M577" s="189"/>
      <c r="N577" s="189"/>
      <c r="O577" s="189"/>
      <c r="P577" s="189"/>
      <c r="Q577" s="189"/>
      <c r="R577" s="189"/>
      <c r="S577" s="189"/>
      <c r="T577" s="189"/>
      <c r="U577" s="189"/>
    </row>
    <row r="578" spans="4:21" x14ac:dyDescent="0.35">
      <c r="D578" s="189"/>
      <c r="E578" s="189"/>
      <c r="F578" s="189"/>
      <c r="G578" s="189"/>
      <c r="H578" s="189"/>
      <c r="I578" s="189"/>
      <c r="J578" s="189"/>
      <c r="K578" s="189"/>
      <c r="L578" s="189"/>
      <c r="M578" s="189"/>
      <c r="N578" s="189"/>
      <c r="O578" s="189"/>
      <c r="P578" s="189"/>
      <c r="Q578" s="189"/>
      <c r="R578" s="189"/>
      <c r="S578" s="189"/>
      <c r="T578" s="189"/>
      <c r="U578" s="189"/>
    </row>
    <row r="579" spans="4:21" x14ac:dyDescent="0.35">
      <c r="D579" s="189"/>
      <c r="E579" s="189"/>
      <c r="F579" s="189"/>
      <c r="G579" s="189"/>
      <c r="H579" s="189"/>
      <c r="I579" s="189"/>
      <c r="J579" s="189"/>
      <c r="K579" s="189"/>
      <c r="L579" s="189"/>
      <c r="M579" s="189"/>
      <c r="N579" s="189"/>
      <c r="O579" s="189"/>
      <c r="P579" s="189"/>
      <c r="Q579" s="189"/>
      <c r="R579" s="189"/>
      <c r="S579" s="189"/>
      <c r="T579" s="189"/>
      <c r="U579" s="189"/>
    </row>
    <row r="580" spans="4:21" x14ac:dyDescent="0.35">
      <c r="D580" s="189"/>
      <c r="E580" s="189"/>
      <c r="F580" s="189"/>
      <c r="G580" s="189"/>
      <c r="H580" s="189"/>
      <c r="I580" s="189"/>
      <c r="J580" s="189"/>
      <c r="K580" s="189"/>
      <c r="L580" s="189"/>
      <c r="M580" s="189"/>
      <c r="N580" s="189"/>
      <c r="O580" s="189"/>
      <c r="P580" s="189"/>
      <c r="Q580" s="189"/>
      <c r="R580" s="189"/>
      <c r="S580" s="189"/>
      <c r="T580" s="189"/>
      <c r="U580" s="189"/>
    </row>
    <row r="581" spans="4:21" x14ac:dyDescent="0.35">
      <c r="D581" s="189"/>
      <c r="E581" s="189"/>
      <c r="F581" s="189"/>
      <c r="G581" s="189"/>
      <c r="H581" s="189"/>
      <c r="I581" s="189"/>
      <c r="J581" s="189"/>
      <c r="K581" s="189"/>
      <c r="L581" s="189"/>
      <c r="M581" s="189"/>
      <c r="N581" s="189"/>
      <c r="O581" s="189"/>
      <c r="P581" s="189"/>
      <c r="Q581" s="189"/>
      <c r="R581" s="189"/>
      <c r="S581" s="189"/>
      <c r="T581" s="189"/>
      <c r="U581" s="189"/>
    </row>
    <row r="582" spans="4:21" x14ac:dyDescent="0.35">
      <c r="D582" s="189"/>
      <c r="E582" s="189"/>
      <c r="F582" s="189"/>
      <c r="G582" s="189"/>
      <c r="H582" s="189"/>
      <c r="I582" s="189"/>
      <c r="J582" s="189"/>
      <c r="K582" s="189"/>
      <c r="L582" s="189"/>
      <c r="M582" s="189"/>
      <c r="N582" s="189"/>
      <c r="O582" s="189"/>
      <c r="P582" s="189"/>
      <c r="Q582" s="189"/>
      <c r="R582" s="189"/>
      <c r="S582" s="189"/>
      <c r="T582" s="189"/>
      <c r="U582" s="189"/>
    </row>
    <row r="583" spans="4:21" x14ac:dyDescent="0.35">
      <c r="D583" s="189"/>
      <c r="E583" s="189"/>
      <c r="F583" s="189"/>
      <c r="G583" s="189"/>
      <c r="H583" s="189"/>
      <c r="I583" s="189"/>
      <c r="J583" s="189"/>
      <c r="K583" s="189"/>
      <c r="L583" s="189"/>
      <c r="M583" s="189"/>
      <c r="N583" s="189"/>
      <c r="O583" s="189"/>
      <c r="P583" s="189"/>
      <c r="Q583" s="189"/>
      <c r="R583" s="189"/>
      <c r="S583" s="189"/>
      <c r="T583" s="189"/>
      <c r="U583" s="189"/>
    </row>
    <row r="584" spans="4:21" x14ac:dyDescent="0.35">
      <c r="D584" s="189"/>
      <c r="E584" s="189"/>
      <c r="F584" s="189"/>
      <c r="G584" s="189"/>
      <c r="H584" s="189"/>
      <c r="I584" s="189"/>
      <c r="J584" s="189"/>
      <c r="K584" s="189"/>
      <c r="L584" s="189"/>
      <c r="M584" s="189"/>
      <c r="N584" s="189"/>
      <c r="O584" s="189"/>
      <c r="P584" s="189"/>
      <c r="Q584" s="189"/>
      <c r="R584" s="189"/>
      <c r="S584" s="189"/>
      <c r="T584" s="189"/>
      <c r="U584" s="189"/>
    </row>
    <row r="585" spans="4:21" x14ac:dyDescent="0.35">
      <c r="D585" s="189"/>
      <c r="E585" s="189"/>
      <c r="F585" s="189"/>
      <c r="G585" s="189"/>
      <c r="H585" s="189"/>
      <c r="I585" s="189"/>
      <c r="J585" s="189"/>
      <c r="K585" s="189"/>
      <c r="L585" s="189"/>
      <c r="M585" s="189"/>
      <c r="N585" s="189"/>
      <c r="O585" s="189"/>
      <c r="P585" s="189"/>
      <c r="Q585" s="189"/>
      <c r="R585" s="189"/>
      <c r="S585" s="189"/>
      <c r="T585" s="189"/>
      <c r="U585" s="189"/>
    </row>
    <row r="586" spans="4:21" x14ac:dyDescent="0.35">
      <c r="D586" s="189"/>
      <c r="E586" s="189"/>
      <c r="F586" s="189"/>
      <c r="G586" s="189"/>
      <c r="H586" s="189"/>
      <c r="I586" s="189"/>
      <c r="J586" s="189"/>
      <c r="K586" s="189"/>
      <c r="L586" s="189"/>
      <c r="M586" s="189"/>
      <c r="N586" s="189"/>
      <c r="O586" s="189"/>
      <c r="P586" s="189"/>
      <c r="Q586" s="189"/>
      <c r="R586" s="189"/>
      <c r="S586" s="189"/>
      <c r="T586" s="189"/>
      <c r="U586" s="189"/>
    </row>
    <row r="587" spans="4:21" x14ac:dyDescent="0.35">
      <c r="D587" s="189"/>
      <c r="E587" s="189"/>
      <c r="F587" s="189"/>
      <c r="G587" s="189"/>
      <c r="H587" s="189"/>
      <c r="I587" s="189"/>
      <c r="J587" s="189"/>
      <c r="K587" s="189"/>
      <c r="L587" s="189"/>
      <c r="M587" s="189"/>
      <c r="N587" s="189"/>
      <c r="O587" s="189"/>
      <c r="P587" s="189"/>
      <c r="Q587" s="189"/>
      <c r="R587" s="189"/>
      <c r="S587" s="189"/>
      <c r="T587" s="189"/>
      <c r="U587" s="189"/>
    </row>
    <row r="588" spans="4:21" x14ac:dyDescent="0.35">
      <c r="D588" s="189"/>
      <c r="E588" s="189"/>
      <c r="F588" s="189"/>
      <c r="G588" s="189"/>
      <c r="H588" s="189"/>
      <c r="I588" s="189"/>
      <c r="J588" s="189"/>
      <c r="K588" s="189"/>
      <c r="L588" s="189"/>
      <c r="M588" s="189"/>
      <c r="N588" s="189"/>
      <c r="O588" s="189"/>
      <c r="P588" s="189"/>
      <c r="Q588" s="189"/>
      <c r="R588" s="189"/>
      <c r="S588" s="189"/>
      <c r="T588" s="189"/>
      <c r="U588" s="189"/>
    </row>
  </sheetData>
  <sheetProtection insertColumns="0" insertRows="0" deleteColumns="0" deleteRows="0"/>
  <mergeCells count="36">
    <mergeCell ref="A51:B51"/>
    <mergeCell ref="A53:B53"/>
    <mergeCell ref="A58:A79"/>
    <mergeCell ref="A27:A29"/>
    <mergeCell ref="A47:B47"/>
    <mergeCell ref="A48:B48"/>
    <mergeCell ref="A49:B49"/>
    <mergeCell ref="A50:B50"/>
    <mergeCell ref="A31:A33"/>
    <mergeCell ref="A35:A37"/>
    <mergeCell ref="A39:A41"/>
    <mergeCell ref="A43:A45"/>
    <mergeCell ref="A7:A9"/>
    <mergeCell ref="A11:A13"/>
    <mergeCell ref="A15:A17"/>
    <mergeCell ref="A19:A21"/>
    <mergeCell ref="A23:A25"/>
    <mergeCell ref="A124:B124"/>
    <mergeCell ref="A118:B118"/>
    <mergeCell ref="A121:B121"/>
    <mergeCell ref="A112:B112"/>
    <mergeCell ref="A113:B113"/>
    <mergeCell ref="A114:B114"/>
    <mergeCell ref="A115:B115"/>
    <mergeCell ref="A116:B116"/>
    <mergeCell ref="A110:B110"/>
    <mergeCell ref="A111:B111"/>
    <mergeCell ref="A82:A91"/>
    <mergeCell ref="A80:B80"/>
    <mergeCell ref="A92:B92"/>
    <mergeCell ref="A104:B104"/>
    <mergeCell ref="A106:B106"/>
    <mergeCell ref="A107:B107"/>
    <mergeCell ref="A108:B108"/>
    <mergeCell ref="A109:B109"/>
    <mergeCell ref="A94:A103"/>
  </mergeCells>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U588"/>
  <sheetViews>
    <sheetView workbookViewId="0"/>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s="209" customFormat="1" ht="22.5" customHeight="1" x14ac:dyDescent="0.35">
      <c r="A1" s="207" t="s">
        <v>70</v>
      </c>
      <c r="B1" s="208"/>
    </row>
    <row r="2" spans="1:20" s="209" customFormat="1" ht="7.5" customHeight="1" x14ac:dyDescent="0.35">
      <c r="A2" s="210"/>
      <c r="B2" s="211"/>
      <c r="C2" s="212"/>
      <c r="D2" s="213"/>
      <c r="E2" s="213"/>
      <c r="F2" s="213"/>
      <c r="G2" s="213"/>
      <c r="H2" s="213"/>
      <c r="I2" s="213"/>
      <c r="J2" s="213"/>
      <c r="K2" s="213"/>
      <c r="L2" s="213"/>
      <c r="M2" s="213"/>
      <c r="N2" s="213"/>
      <c r="O2" s="213"/>
      <c r="P2" s="213"/>
      <c r="Q2" s="213"/>
      <c r="R2" s="213"/>
      <c r="S2" s="212"/>
      <c r="T2" s="212"/>
    </row>
    <row r="3" spans="1:20" s="209" customFormat="1" ht="18" customHeight="1" x14ac:dyDescent="0.35">
      <c r="A3" s="214"/>
      <c r="B3" s="215"/>
      <c r="C3" s="216"/>
      <c r="D3" s="217">
        <f>'2. Tulud-kulud projektiga'!D3</f>
        <v>2024</v>
      </c>
      <c r="E3" s="217">
        <f>D3+1</f>
        <v>2025</v>
      </c>
      <c r="F3" s="217">
        <f t="shared" ref="F3:P3" si="0">E3+1</f>
        <v>2026</v>
      </c>
      <c r="G3" s="217">
        <f t="shared" si="0"/>
        <v>2027</v>
      </c>
      <c r="H3" s="217">
        <f t="shared" si="0"/>
        <v>2028</v>
      </c>
      <c r="I3" s="217">
        <f t="shared" si="0"/>
        <v>2029</v>
      </c>
      <c r="J3" s="217">
        <f t="shared" si="0"/>
        <v>2030</v>
      </c>
      <c r="K3" s="217">
        <f t="shared" si="0"/>
        <v>2031</v>
      </c>
      <c r="L3" s="217">
        <f t="shared" si="0"/>
        <v>2032</v>
      </c>
      <c r="M3" s="217">
        <f t="shared" si="0"/>
        <v>2033</v>
      </c>
      <c r="N3" s="217">
        <f t="shared" si="0"/>
        <v>2034</v>
      </c>
      <c r="O3" s="217">
        <f t="shared" si="0"/>
        <v>2035</v>
      </c>
      <c r="P3" s="217">
        <f t="shared" si="0"/>
        <v>2036</v>
      </c>
      <c r="Q3" s="217">
        <f t="shared" ref="Q3" si="1">P3+1</f>
        <v>2037</v>
      </c>
      <c r="R3" s="217">
        <f t="shared" ref="R3" si="2">Q3+1</f>
        <v>2038</v>
      </c>
      <c r="S3" s="212"/>
      <c r="T3" s="212"/>
    </row>
    <row r="4" spans="1:20" ht="5.2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32</v>
      </c>
      <c r="B5" s="165"/>
      <c r="C5" s="166" t="s">
        <v>2</v>
      </c>
      <c r="D5" s="168"/>
      <c r="E5" s="168"/>
      <c r="F5" s="168"/>
      <c r="G5" s="168"/>
      <c r="H5" s="168"/>
      <c r="I5" s="168"/>
      <c r="J5" s="168"/>
      <c r="K5" s="168"/>
      <c r="L5" s="168"/>
      <c r="M5" s="168"/>
      <c r="N5" s="168"/>
      <c r="O5" s="168"/>
      <c r="P5" s="168"/>
      <c r="Q5" s="168"/>
      <c r="R5" s="169"/>
      <c r="S5" s="163"/>
      <c r="T5" s="163"/>
    </row>
    <row r="6" spans="1:20" ht="5.2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796" t="str">
        <f>'2. Tulud-kulud projektiga'!A7:A9</f>
        <v>Üüritulud. 1 korrus. Kohvik</v>
      </c>
      <c r="B7" s="218" t="str">
        <f>'2. Tulud-kulud projektiga'!B7</f>
        <v>Kuu</v>
      </c>
      <c r="C7" s="219" t="str">
        <f>'2. Tulud-kulud projektiga'!C7</f>
        <v>m2</v>
      </c>
      <c r="D7" s="173"/>
      <c r="E7" s="173"/>
      <c r="F7" s="173"/>
      <c r="G7" s="173"/>
      <c r="H7" s="173"/>
      <c r="I7" s="173"/>
      <c r="J7" s="173"/>
      <c r="K7" s="173"/>
      <c r="L7" s="173"/>
      <c r="M7" s="173"/>
      <c r="N7" s="173"/>
      <c r="O7" s="173"/>
      <c r="P7" s="173"/>
      <c r="Q7" s="173"/>
      <c r="R7" s="173"/>
      <c r="S7" s="163"/>
      <c r="T7" s="163"/>
    </row>
    <row r="8" spans="1:20" ht="15.75" customHeight="1" x14ac:dyDescent="0.35">
      <c r="A8" s="796"/>
      <c r="B8" s="218" t="s">
        <v>0</v>
      </c>
      <c r="C8" s="219" t="s">
        <v>3</v>
      </c>
      <c r="D8" s="173"/>
      <c r="E8" s="173"/>
      <c r="F8" s="173"/>
      <c r="G8" s="173"/>
      <c r="H8" s="173"/>
      <c r="I8" s="173"/>
      <c r="J8" s="173"/>
      <c r="K8" s="173"/>
      <c r="L8" s="173"/>
      <c r="M8" s="173"/>
      <c r="N8" s="173"/>
      <c r="O8" s="173"/>
      <c r="P8" s="173"/>
      <c r="Q8" s="173"/>
      <c r="R8" s="173"/>
      <c r="S8" s="163"/>
      <c r="T8" s="163"/>
    </row>
    <row r="9" spans="1:20" ht="15.75" customHeight="1" x14ac:dyDescent="0.35">
      <c r="A9" s="796"/>
      <c r="B9" s="221" t="s">
        <v>1</v>
      </c>
      <c r="C9" s="222" t="s">
        <v>3</v>
      </c>
      <c r="D9" s="220">
        <f t="shared" ref="D9:R9" si="3">D7*D8</f>
        <v>0</v>
      </c>
      <c r="E9" s="220">
        <f t="shared" si="3"/>
        <v>0</v>
      </c>
      <c r="F9" s="220">
        <f t="shared" si="3"/>
        <v>0</v>
      </c>
      <c r="G9" s="220">
        <f t="shared" si="3"/>
        <v>0</v>
      </c>
      <c r="H9" s="220">
        <f t="shared" si="3"/>
        <v>0</v>
      </c>
      <c r="I9" s="220">
        <f t="shared" si="3"/>
        <v>0</v>
      </c>
      <c r="J9" s="220">
        <f t="shared" si="3"/>
        <v>0</v>
      </c>
      <c r="K9" s="220">
        <f t="shared" si="3"/>
        <v>0</v>
      </c>
      <c r="L9" s="220">
        <f t="shared" si="3"/>
        <v>0</v>
      </c>
      <c r="M9" s="220">
        <f t="shared" si="3"/>
        <v>0</v>
      </c>
      <c r="N9" s="220">
        <f t="shared" si="3"/>
        <v>0</v>
      </c>
      <c r="O9" s="220">
        <f t="shared" si="3"/>
        <v>0</v>
      </c>
      <c r="P9" s="220">
        <f t="shared" si="3"/>
        <v>0</v>
      </c>
      <c r="Q9" s="220">
        <f t="shared" ref="Q9" si="4">Q7*Q8</f>
        <v>0</v>
      </c>
      <c r="R9" s="220">
        <f t="shared" si="3"/>
        <v>0</v>
      </c>
      <c r="S9" s="163"/>
      <c r="T9" s="163"/>
    </row>
    <row r="10" spans="1:20" ht="5.25" customHeight="1" x14ac:dyDescent="0.35">
      <c r="A10" s="223"/>
      <c r="B10" s="178"/>
      <c r="C10" s="179"/>
      <c r="D10" s="179"/>
      <c r="E10" s="179"/>
      <c r="F10" s="179"/>
      <c r="G10" s="179"/>
      <c r="H10" s="179"/>
      <c r="I10" s="179"/>
      <c r="J10" s="179"/>
      <c r="K10" s="179"/>
      <c r="L10" s="179"/>
      <c r="M10" s="179"/>
      <c r="N10" s="179"/>
      <c r="O10" s="179"/>
      <c r="P10" s="179"/>
      <c r="Q10" s="179"/>
      <c r="R10" s="180"/>
      <c r="S10" s="163"/>
      <c r="T10" s="163"/>
    </row>
    <row r="11" spans="1:20" x14ac:dyDescent="0.35">
      <c r="A11" s="796" t="str">
        <f>'2. Tulud-kulud projektiga'!A11:A13</f>
        <v>Üüritulud. 2 korrus. Üüriruumid</v>
      </c>
      <c r="B11" s="218" t="str">
        <f>'2. Tulud-kulud projektiga'!B11</f>
        <v>Kuu</v>
      </c>
      <c r="C11" s="219" t="str">
        <f>'2. Tulud-kulud projektiga'!C11</f>
        <v>m2</v>
      </c>
      <c r="D11" s="173"/>
      <c r="E11" s="173"/>
      <c r="F11" s="173"/>
      <c r="G11" s="173"/>
      <c r="H11" s="173"/>
      <c r="I11" s="173"/>
      <c r="J11" s="173"/>
      <c r="K11" s="173"/>
      <c r="L11" s="173"/>
      <c r="M11" s="173"/>
      <c r="N11" s="173"/>
      <c r="O11" s="173"/>
      <c r="P11" s="173"/>
      <c r="Q11" s="173"/>
      <c r="R11" s="173"/>
      <c r="S11" s="163"/>
      <c r="T11" s="163"/>
    </row>
    <row r="12" spans="1:20" x14ac:dyDescent="0.35">
      <c r="A12" s="796"/>
      <c r="B12" s="218" t="s">
        <v>0</v>
      </c>
      <c r="C12" s="219" t="s">
        <v>3</v>
      </c>
      <c r="D12" s="173"/>
      <c r="E12" s="173"/>
      <c r="F12" s="173"/>
      <c r="G12" s="173"/>
      <c r="H12" s="173"/>
      <c r="I12" s="173"/>
      <c r="J12" s="173"/>
      <c r="K12" s="173"/>
      <c r="L12" s="173"/>
      <c r="M12" s="173"/>
      <c r="N12" s="173"/>
      <c r="O12" s="173"/>
      <c r="P12" s="173"/>
      <c r="Q12" s="173"/>
      <c r="R12" s="173"/>
      <c r="S12" s="163"/>
      <c r="T12" s="163"/>
    </row>
    <row r="13" spans="1:20" x14ac:dyDescent="0.35">
      <c r="A13" s="796"/>
      <c r="B13" s="221" t="s">
        <v>1</v>
      </c>
      <c r="C13" s="222" t="s">
        <v>3</v>
      </c>
      <c r="D13" s="220">
        <f t="shared" ref="D13:R13" si="5">D11*D12</f>
        <v>0</v>
      </c>
      <c r="E13" s="220">
        <f t="shared" si="5"/>
        <v>0</v>
      </c>
      <c r="F13" s="220">
        <f t="shared" si="5"/>
        <v>0</v>
      </c>
      <c r="G13" s="220">
        <f t="shared" si="5"/>
        <v>0</v>
      </c>
      <c r="H13" s="220">
        <f t="shared" si="5"/>
        <v>0</v>
      </c>
      <c r="I13" s="220">
        <f t="shared" si="5"/>
        <v>0</v>
      </c>
      <c r="J13" s="220">
        <f t="shared" si="5"/>
        <v>0</v>
      </c>
      <c r="K13" s="220">
        <f t="shared" si="5"/>
        <v>0</v>
      </c>
      <c r="L13" s="220">
        <f t="shared" si="5"/>
        <v>0</v>
      </c>
      <c r="M13" s="220">
        <f t="shared" si="5"/>
        <v>0</v>
      </c>
      <c r="N13" s="220">
        <f t="shared" si="5"/>
        <v>0</v>
      </c>
      <c r="O13" s="220">
        <f t="shared" si="5"/>
        <v>0</v>
      </c>
      <c r="P13" s="220">
        <f t="shared" si="5"/>
        <v>0</v>
      </c>
      <c r="Q13" s="220">
        <f t="shared" ref="Q13" si="6">Q11*Q12</f>
        <v>0</v>
      </c>
      <c r="R13" s="220">
        <f t="shared" si="5"/>
        <v>0</v>
      </c>
      <c r="S13" s="163"/>
      <c r="T13" s="163"/>
    </row>
    <row r="14" spans="1:20" ht="5.25" customHeight="1" x14ac:dyDescent="0.35">
      <c r="A14" s="223"/>
      <c r="B14" s="178"/>
      <c r="C14" s="179"/>
      <c r="D14" s="179"/>
      <c r="E14" s="179"/>
      <c r="F14" s="179"/>
      <c r="G14" s="179"/>
      <c r="H14" s="179"/>
      <c r="I14" s="179"/>
      <c r="J14" s="179"/>
      <c r="K14" s="179"/>
      <c r="L14" s="179"/>
      <c r="M14" s="179"/>
      <c r="N14" s="179"/>
      <c r="O14" s="179"/>
      <c r="P14" s="179"/>
      <c r="Q14" s="179"/>
      <c r="R14" s="180"/>
      <c r="S14" s="163"/>
      <c r="T14" s="163"/>
    </row>
    <row r="15" spans="1:20" x14ac:dyDescent="0.35">
      <c r="A15" s="796" t="str">
        <f>'2. Tulud-kulud projektiga'!A15:A17</f>
        <v>Üüritulud. 3 korrus. Üüriruumid</v>
      </c>
      <c r="B15" s="218" t="str">
        <f>'2. Tulud-kulud projektiga'!B15</f>
        <v>Ühik 3</v>
      </c>
      <c r="C15" s="219" t="str">
        <f>'2. Tulud-kulud projektiga'!C15</f>
        <v>m2</v>
      </c>
      <c r="D15" s="173"/>
      <c r="E15" s="173"/>
      <c r="F15" s="173"/>
      <c r="G15" s="173"/>
      <c r="H15" s="173"/>
      <c r="I15" s="173"/>
      <c r="J15" s="173"/>
      <c r="K15" s="173"/>
      <c r="L15" s="173"/>
      <c r="M15" s="173"/>
      <c r="N15" s="173"/>
      <c r="O15" s="173"/>
      <c r="P15" s="173"/>
      <c r="Q15" s="173"/>
      <c r="R15" s="173"/>
      <c r="S15" s="163"/>
      <c r="T15" s="163"/>
    </row>
    <row r="16" spans="1:20" x14ac:dyDescent="0.35">
      <c r="A16" s="796"/>
      <c r="B16" s="218" t="s">
        <v>0</v>
      </c>
      <c r="C16" s="219" t="s">
        <v>3</v>
      </c>
      <c r="D16" s="173"/>
      <c r="E16" s="173"/>
      <c r="F16" s="173"/>
      <c r="G16" s="173"/>
      <c r="H16" s="173"/>
      <c r="I16" s="173"/>
      <c r="J16" s="173"/>
      <c r="K16" s="173"/>
      <c r="L16" s="173"/>
      <c r="M16" s="173"/>
      <c r="N16" s="173"/>
      <c r="O16" s="173"/>
      <c r="P16" s="173"/>
      <c r="Q16" s="173"/>
      <c r="R16" s="173"/>
      <c r="S16" s="163"/>
      <c r="T16" s="163"/>
    </row>
    <row r="17" spans="1:20" x14ac:dyDescent="0.35">
      <c r="A17" s="796"/>
      <c r="B17" s="221" t="s">
        <v>1</v>
      </c>
      <c r="C17" s="222" t="s">
        <v>3</v>
      </c>
      <c r="D17" s="220">
        <f t="shared" ref="D17:R17" si="7">D15*D16</f>
        <v>0</v>
      </c>
      <c r="E17" s="220">
        <f t="shared" si="7"/>
        <v>0</v>
      </c>
      <c r="F17" s="220">
        <f t="shared" si="7"/>
        <v>0</v>
      </c>
      <c r="G17" s="220">
        <f t="shared" si="7"/>
        <v>0</v>
      </c>
      <c r="H17" s="220">
        <f t="shared" si="7"/>
        <v>0</v>
      </c>
      <c r="I17" s="220">
        <f t="shared" si="7"/>
        <v>0</v>
      </c>
      <c r="J17" s="220">
        <f t="shared" si="7"/>
        <v>0</v>
      </c>
      <c r="K17" s="220">
        <f t="shared" si="7"/>
        <v>0</v>
      </c>
      <c r="L17" s="220">
        <f t="shared" si="7"/>
        <v>0</v>
      </c>
      <c r="M17" s="220">
        <f t="shared" si="7"/>
        <v>0</v>
      </c>
      <c r="N17" s="220">
        <f t="shared" si="7"/>
        <v>0</v>
      </c>
      <c r="O17" s="220">
        <f t="shared" si="7"/>
        <v>0</v>
      </c>
      <c r="P17" s="220">
        <f t="shared" si="7"/>
        <v>0</v>
      </c>
      <c r="Q17" s="220">
        <f t="shared" ref="Q17" si="8">Q15*Q16</f>
        <v>0</v>
      </c>
      <c r="R17" s="220">
        <f t="shared" si="7"/>
        <v>0</v>
      </c>
      <c r="S17" s="163"/>
      <c r="T17" s="163"/>
    </row>
    <row r="18" spans="1:20" ht="5.25" customHeight="1" x14ac:dyDescent="0.35">
      <c r="A18" s="223"/>
      <c r="B18" s="178"/>
      <c r="C18" s="179"/>
      <c r="D18" s="179"/>
      <c r="E18" s="179"/>
      <c r="F18" s="179"/>
      <c r="G18" s="179"/>
      <c r="H18" s="179"/>
      <c r="I18" s="179"/>
      <c r="J18" s="179"/>
      <c r="K18" s="179"/>
      <c r="L18" s="179"/>
      <c r="M18" s="179"/>
      <c r="N18" s="179"/>
      <c r="O18" s="179"/>
      <c r="P18" s="179"/>
      <c r="Q18" s="179"/>
      <c r="R18" s="180"/>
      <c r="S18" s="163"/>
      <c r="T18" s="163"/>
    </row>
    <row r="19" spans="1:20" x14ac:dyDescent="0.35">
      <c r="A19" s="796" t="str">
        <f>'2. Tulud-kulud projektiga'!A19:A21</f>
        <v xml:space="preserve">Üüritulud. 3 korrus. Open Office. </v>
      </c>
      <c r="B19" s="218" t="str">
        <f>'2. Tulud-kulud projektiga'!B19</f>
        <v>Ühik 4</v>
      </c>
      <c r="C19" s="219" t="str">
        <f>'2. Tulud-kulud projektiga'!C19</f>
        <v>Kohta</v>
      </c>
      <c r="D19" s="173"/>
      <c r="E19" s="173"/>
      <c r="F19" s="173"/>
      <c r="G19" s="173"/>
      <c r="H19" s="173"/>
      <c r="I19" s="173"/>
      <c r="J19" s="173"/>
      <c r="K19" s="173"/>
      <c r="L19" s="173"/>
      <c r="M19" s="173"/>
      <c r="N19" s="173"/>
      <c r="O19" s="173"/>
      <c r="P19" s="173"/>
      <c r="Q19" s="173"/>
      <c r="R19" s="173"/>
      <c r="S19" s="163"/>
      <c r="T19" s="163"/>
    </row>
    <row r="20" spans="1:20" x14ac:dyDescent="0.35">
      <c r="A20" s="796"/>
      <c r="B20" s="218" t="s">
        <v>0</v>
      </c>
      <c r="C20" s="219" t="s">
        <v>3</v>
      </c>
      <c r="D20" s="173"/>
      <c r="E20" s="173"/>
      <c r="F20" s="173"/>
      <c r="G20" s="173"/>
      <c r="H20" s="173"/>
      <c r="I20" s="173"/>
      <c r="J20" s="173"/>
      <c r="K20" s="173"/>
      <c r="L20" s="173"/>
      <c r="M20" s="173"/>
      <c r="N20" s="173"/>
      <c r="O20" s="173"/>
      <c r="P20" s="173"/>
      <c r="Q20" s="173"/>
      <c r="R20" s="173"/>
      <c r="S20" s="163"/>
      <c r="T20" s="163"/>
    </row>
    <row r="21" spans="1:20" x14ac:dyDescent="0.35">
      <c r="A21" s="796"/>
      <c r="B21" s="221" t="s">
        <v>1</v>
      </c>
      <c r="C21" s="222" t="s">
        <v>3</v>
      </c>
      <c r="D21" s="220">
        <f t="shared" ref="D21:R21" si="9">D19*D20</f>
        <v>0</v>
      </c>
      <c r="E21" s="220">
        <f t="shared" si="9"/>
        <v>0</v>
      </c>
      <c r="F21" s="220">
        <f t="shared" si="9"/>
        <v>0</v>
      </c>
      <c r="G21" s="220">
        <f t="shared" si="9"/>
        <v>0</v>
      </c>
      <c r="H21" s="220">
        <f t="shared" si="9"/>
        <v>0</v>
      </c>
      <c r="I21" s="220">
        <f t="shared" si="9"/>
        <v>0</v>
      </c>
      <c r="J21" s="220">
        <f t="shared" si="9"/>
        <v>0</v>
      </c>
      <c r="K21" s="220">
        <f t="shared" si="9"/>
        <v>0</v>
      </c>
      <c r="L21" s="220">
        <f t="shared" si="9"/>
        <v>0</v>
      </c>
      <c r="M21" s="220">
        <f t="shared" si="9"/>
        <v>0</v>
      </c>
      <c r="N21" s="220">
        <f t="shared" si="9"/>
        <v>0</v>
      </c>
      <c r="O21" s="220">
        <f t="shared" si="9"/>
        <v>0</v>
      </c>
      <c r="P21" s="220">
        <f t="shared" si="9"/>
        <v>0</v>
      </c>
      <c r="Q21" s="220">
        <f t="shared" ref="Q21" si="10">Q19*Q20</f>
        <v>0</v>
      </c>
      <c r="R21" s="220">
        <f t="shared" si="9"/>
        <v>0</v>
      </c>
      <c r="S21" s="163"/>
      <c r="T21" s="163"/>
    </row>
    <row r="22" spans="1:20" ht="5.25" customHeight="1" x14ac:dyDescent="0.35">
      <c r="A22" s="223"/>
      <c r="B22" s="178"/>
      <c r="C22" s="179"/>
      <c r="D22" s="179"/>
      <c r="E22" s="179"/>
      <c r="F22" s="179"/>
      <c r="G22" s="179"/>
      <c r="H22" s="179"/>
      <c r="I22" s="179"/>
      <c r="J22" s="179"/>
      <c r="K22" s="179"/>
      <c r="L22" s="179"/>
      <c r="M22" s="179"/>
      <c r="N22" s="179"/>
      <c r="O22" s="179"/>
      <c r="P22" s="179"/>
      <c r="Q22" s="179"/>
      <c r="R22" s="180"/>
      <c r="S22" s="163"/>
      <c r="T22" s="163"/>
    </row>
    <row r="23" spans="1:20" x14ac:dyDescent="0.35">
      <c r="A23" s="796" t="str">
        <f>'2. Tulud-kulud projektiga'!A23:A25</f>
        <v>Üüritulud. 4 korrus. Üüriruumid</v>
      </c>
      <c r="B23" s="218" t="str">
        <f>'2. Tulud-kulud projektiga'!B23</f>
        <v>Ühik 5</v>
      </c>
      <c r="C23" s="219" t="str">
        <f>'2. Tulud-kulud projektiga'!C23</f>
        <v>m2</v>
      </c>
      <c r="D23" s="173"/>
      <c r="E23" s="173"/>
      <c r="F23" s="173"/>
      <c r="G23" s="173"/>
      <c r="H23" s="173"/>
      <c r="I23" s="173"/>
      <c r="J23" s="173"/>
      <c r="K23" s="173"/>
      <c r="L23" s="173"/>
      <c r="M23" s="173"/>
      <c r="N23" s="173"/>
      <c r="O23" s="173"/>
      <c r="P23" s="173"/>
      <c r="Q23" s="173"/>
      <c r="R23" s="173"/>
      <c r="S23" s="163"/>
      <c r="T23" s="163"/>
    </row>
    <row r="24" spans="1:20" x14ac:dyDescent="0.35">
      <c r="A24" s="796"/>
      <c r="B24" s="218" t="s">
        <v>0</v>
      </c>
      <c r="C24" s="219" t="s">
        <v>3</v>
      </c>
      <c r="D24" s="173"/>
      <c r="E24" s="173"/>
      <c r="F24" s="173"/>
      <c r="G24" s="173"/>
      <c r="H24" s="173"/>
      <c r="I24" s="173"/>
      <c r="J24" s="173"/>
      <c r="K24" s="173"/>
      <c r="L24" s="173"/>
      <c r="M24" s="173"/>
      <c r="N24" s="173"/>
      <c r="O24" s="173"/>
      <c r="P24" s="173"/>
      <c r="Q24" s="173"/>
      <c r="R24" s="173"/>
      <c r="S24" s="163"/>
      <c r="T24" s="163"/>
    </row>
    <row r="25" spans="1:20" x14ac:dyDescent="0.35">
      <c r="A25" s="796"/>
      <c r="B25" s="221" t="s">
        <v>1</v>
      </c>
      <c r="C25" s="222" t="s">
        <v>3</v>
      </c>
      <c r="D25" s="220">
        <f t="shared" ref="D25:R25" si="11">D23*D24</f>
        <v>0</v>
      </c>
      <c r="E25" s="220">
        <f t="shared" si="11"/>
        <v>0</v>
      </c>
      <c r="F25" s="220">
        <f t="shared" si="11"/>
        <v>0</v>
      </c>
      <c r="G25" s="220">
        <f t="shared" si="11"/>
        <v>0</v>
      </c>
      <c r="H25" s="220">
        <f t="shared" si="11"/>
        <v>0</v>
      </c>
      <c r="I25" s="220">
        <f t="shared" si="11"/>
        <v>0</v>
      </c>
      <c r="J25" s="220">
        <f t="shared" si="11"/>
        <v>0</v>
      </c>
      <c r="K25" s="220">
        <f t="shared" si="11"/>
        <v>0</v>
      </c>
      <c r="L25" s="220">
        <f t="shared" si="11"/>
        <v>0</v>
      </c>
      <c r="M25" s="220">
        <f t="shared" si="11"/>
        <v>0</v>
      </c>
      <c r="N25" s="220">
        <f t="shared" si="11"/>
        <v>0</v>
      </c>
      <c r="O25" s="220">
        <f t="shared" si="11"/>
        <v>0</v>
      </c>
      <c r="P25" s="220">
        <f t="shared" si="11"/>
        <v>0</v>
      </c>
      <c r="Q25" s="220">
        <f t="shared" ref="Q25" si="12">Q23*Q24</f>
        <v>0</v>
      </c>
      <c r="R25" s="220">
        <f t="shared" si="11"/>
        <v>0</v>
      </c>
      <c r="S25" s="163"/>
      <c r="T25" s="163"/>
    </row>
    <row r="26" spans="1:20" ht="5.25" customHeight="1" x14ac:dyDescent="0.35">
      <c r="A26" s="223"/>
      <c r="B26" s="178"/>
      <c r="C26" s="179"/>
      <c r="D26" s="179"/>
      <c r="E26" s="179"/>
      <c r="F26" s="179"/>
      <c r="G26" s="179"/>
      <c r="H26" s="179"/>
      <c r="I26" s="179"/>
      <c r="J26" s="179"/>
      <c r="K26" s="179"/>
      <c r="L26" s="179"/>
      <c r="M26" s="179"/>
      <c r="N26" s="179"/>
      <c r="O26" s="179"/>
      <c r="P26" s="179"/>
      <c r="Q26" s="179"/>
      <c r="R26" s="180"/>
      <c r="S26" s="163"/>
      <c r="T26" s="163"/>
    </row>
    <row r="27" spans="1:20" hidden="1" outlineLevel="1" x14ac:dyDescent="0.35">
      <c r="A27" s="796" t="str">
        <f>'2. Tulud-kulud projektiga'!A27:A29</f>
        <v>Üüritulud. 4 korrus. Üürikabinet</v>
      </c>
      <c r="B27" s="218" t="str">
        <f>'2. Tulud-kulud projektiga'!B27</f>
        <v>Ühik 6</v>
      </c>
      <c r="C27" s="219" t="str">
        <f>'2. Tulud-kulud projektiga'!C27</f>
        <v>m2</v>
      </c>
      <c r="D27" s="173"/>
      <c r="E27" s="173"/>
      <c r="F27" s="173"/>
      <c r="G27" s="173"/>
      <c r="H27" s="173"/>
      <c r="I27" s="173"/>
      <c r="J27" s="173"/>
      <c r="K27" s="173"/>
      <c r="L27" s="173"/>
      <c r="M27" s="173"/>
      <c r="N27" s="173"/>
      <c r="O27" s="173"/>
      <c r="P27" s="173"/>
      <c r="Q27" s="173"/>
      <c r="R27" s="173"/>
      <c r="S27" s="163"/>
      <c r="T27" s="163"/>
    </row>
    <row r="28" spans="1:20" hidden="1" outlineLevel="1" x14ac:dyDescent="0.35">
      <c r="A28" s="796"/>
      <c r="B28" s="218" t="s">
        <v>0</v>
      </c>
      <c r="C28" s="219" t="s">
        <v>3</v>
      </c>
      <c r="D28" s="173"/>
      <c r="E28" s="173"/>
      <c r="F28" s="173"/>
      <c r="G28" s="173"/>
      <c r="H28" s="173"/>
      <c r="I28" s="173"/>
      <c r="J28" s="173"/>
      <c r="K28" s="173"/>
      <c r="L28" s="173"/>
      <c r="M28" s="173"/>
      <c r="N28" s="173"/>
      <c r="O28" s="173"/>
      <c r="P28" s="173"/>
      <c r="Q28" s="173"/>
      <c r="R28" s="173"/>
      <c r="S28" s="163"/>
      <c r="T28" s="163"/>
    </row>
    <row r="29" spans="1:20" hidden="1" outlineLevel="1" x14ac:dyDescent="0.35">
      <c r="A29" s="796"/>
      <c r="B29" s="221" t="s">
        <v>1</v>
      </c>
      <c r="C29" s="222" t="s">
        <v>3</v>
      </c>
      <c r="D29" s="220">
        <f t="shared" ref="D29:R29" si="13">D27*D28</f>
        <v>0</v>
      </c>
      <c r="E29" s="220">
        <f t="shared" si="13"/>
        <v>0</v>
      </c>
      <c r="F29" s="220">
        <f t="shared" si="13"/>
        <v>0</v>
      </c>
      <c r="G29" s="220">
        <f t="shared" si="13"/>
        <v>0</v>
      </c>
      <c r="H29" s="220">
        <f t="shared" si="13"/>
        <v>0</v>
      </c>
      <c r="I29" s="220">
        <f t="shared" si="13"/>
        <v>0</v>
      </c>
      <c r="J29" s="220">
        <f t="shared" si="13"/>
        <v>0</v>
      </c>
      <c r="K29" s="220">
        <f t="shared" si="13"/>
        <v>0</v>
      </c>
      <c r="L29" s="220">
        <f t="shared" si="13"/>
        <v>0</v>
      </c>
      <c r="M29" s="220">
        <f t="shared" si="13"/>
        <v>0</v>
      </c>
      <c r="N29" s="220">
        <f t="shared" si="13"/>
        <v>0</v>
      </c>
      <c r="O29" s="220">
        <f t="shared" si="13"/>
        <v>0</v>
      </c>
      <c r="P29" s="220">
        <f t="shared" si="13"/>
        <v>0</v>
      </c>
      <c r="Q29" s="220">
        <f t="shared" ref="Q29" si="14">Q27*Q28</f>
        <v>0</v>
      </c>
      <c r="R29" s="220">
        <f t="shared" si="13"/>
        <v>0</v>
      </c>
      <c r="S29" s="163"/>
      <c r="T29" s="163"/>
    </row>
    <row r="30" spans="1:20" ht="5.25" hidden="1" customHeight="1" outlineLevel="1" x14ac:dyDescent="0.35">
      <c r="A30" s="223"/>
      <c r="B30" s="178"/>
      <c r="C30" s="179"/>
      <c r="D30" s="179"/>
      <c r="E30" s="179"/>
      <c r="F30" s="179"/>
      <c r="G30" s="179"/>
      <c r="H30" s="179"/>
      <c r="I30" s="179"/>
      <c r="J30" s="179"/>
      <c r="K30" s="179"/>
      <c r="L30" s="179"/>
      <c r="M30" s="179"/>
      <c r="N30" s="179"/>
      <c r="O30" s="179"/>
      <c r="P30" s="179"/>
      <c r="Q30" s="179"/>
      <c r="R30" s="180"/>
      <c r="S30" s="163"/>
      <c r="T30" s="163"/>
    </row>
    <row r="31" spans="1:20" hidden="1" outlineLevel="1" x14ac:dyDescent="0.35">
      <c r="A31" s="796" t="str">
        <f>'2. Tulud-kulud projektiga'!A31:A33</f>
        <v>Üüritulud. 5 korrus. Üürituba</v>
      </c>
      <c r="B31" s="218" t="str">
        <f>'2. Tulud-kulud projektiga'!B31</f>
        <v>Ühik 7</v>
      </c>
      <c r="C31" s="219" t="str">
        <f>'2. Tulud-kulud projektiga'!C31</f>
        <v>m2</v>
      </c>
      <c r="D31" s="173"/>
      <c r="E31" s="173"/>
      <c r="F31" s="173"/>
      <c r="G31" s="173"/>
      <c r="H31" s="173"/>
      <c r="I31" s="173"/>
      <c r="J31" s="173"/>
      <c r="K31" s="173"/>
      <c r="L31" s="173"/>
      <c r="M31" s="173"/>
      <c r="N31" s="173"/>
      <c r="O31" s="173"/>
      <c r="P31" s="173"/>
      <c r="Q31" s="173"/>
      <c r="R31" s="173"/>
      <c r="S31" s="163"/>
      <c r="T31" s="163"/>
    </row>
    <row r="32" spans="1:20" hidden="1" outlineLevel="1" x14ac:dyDescent="0.35">
      <c r="A32" s="796"/>
      <c r="B32" s="218" t="s">
        <v>0</v>
      </c>
      <c r="C32" s="219" t="s">
        <v>3</v>
      </c>
      <c r="D32" s="173"/>
      <c r="E32" s="173"/>
      <c r="F32" s="173"/>
      <c r="G32" s="173"/>
      <c r="H32" s="173"/>
      <c r="I32" s="173"/>
      <c r="J32" s="173"/>
      <c r="K32" s="173"/>
      <c r="L32" s="173"/>
      <c r="M32" s="173"/>
      <c r="N32" s="173"/>
      <c r="O32" s="173"/>
      <c r="P32" s="173"/>
      <c r="Q32" s="173"/>
      <c r="R32" s="173"/>
      <c r="S32" s="163"/>
      <c r="T32" s="163"/>
    </row>
    <row r="33" spans="1:20" hidden="1" outlineLevel="1" x14ac:dyDescent="0.35">
      <c r="A33" s="796"/>
      <c r="B33" s="221" t="s">
        <v>1</v>
      </c>
      <c r="C33" s="222" t="s">
        <v>3</v>
      </c>
      <c r="D33" s="220">
        <f t="shared" ref="D33:R33" si="15">D31*D32</f>
        <v>0</v>
      </c>
      <c r="E33" s="220">
        <f t="shared" si="15"/>
        <v>0</v>
      </c>
      <c r="F33" s="220">
        <f t="shared" si="15"/>
        <v>0</v>
      </c>
      <c r="G33" s="220">
        <f t="shared" si="15"/>
        <v>0</v>
      </c>
      <c r="H33" s="220">
        <f t="shared" si="15"/>
        <v>0</v>
      </c>
      <c r="I33" s="220">
        <f t="shared" si="15"/>
        <v>0</v>
      </c>
      <c r="J33" s="220">
        <f t="shared" si="15"/>
        <v>0</v>
      </c>
      <c r="K33" s="220">
        <f t="shared" si="15"/>
        <v>0</v>
      </c>
      <c r="L33" s="220">
        <f t="shared" si="15"/>
        <v>0</v>
      </c>
      <c r="M33" s="220">
        <f t="shared" si="15"/>
        <v>0</v>
      </c>
      <c r="N33" s="220">
        <f t="shared" si="15"/>
        <v>0</v>
      </c>
      <c r="O33" s="220">
        <f t="shared" si="15"/>
        <v>0</v>
      </c>
      <c r="P33" s="220">
        <f t="shared" si="15"/>
        <v>0</v>
      </c>
      <c r="Q33" s="220">
        <f t="shared" ref="Q33" si="16">Q31*Q32</f>
        <v>0</v>
      </c>
      <c r="R33" s="220">
        <f t="shared" si="15"/>
        <v>0</v>
      </c>
      <c r="S33" s="163"/>
      <c r="T33" s="163"/>
    </row>
    <row r="34" spans="1:20" ht="5.25" hidden="1" customHeight="1" outlineLevel="1" x14ac:dyDescent="0.35">
      <c r="A34" s="223"/>
      <c r="B34" s="178"/>
      <c r="C34" s="179"/>
      <c r="D34" s="179"/>
      <c r="E34" s="179"/>
      <c r="F34" s="179"/>
      <c r="G34" s="179"/>
      <c r="H34" s="179"/>
      <c r="I34" s="179"/>
      <c r="J34" s="179"/>
      <c r="K34" s="179"/>
      <c r="L34" s="179"/>
      <c r="M34" s="179"/>
      <c r="N34" s="179"/>
      <c r="O34" s="179"/>
      <c r="P34" s="179"/>
      <c r="Q34" s="179"/>
      <c r="R34" s="180"/>
      <c r="S34" s="163"/>
      <c r="T34" s="163"/>
    </row>
    <row r="35" spans="1:20" hidden="1" outlineLevel="1" x14ac:dyDescent="0.35">
      <c r="A35" s="796" t="str">
        <f>'2. Tulud-kulud projektiga'!A35:A37</f>
        <v>Üüritulud. 5 korrus. Üüriruumid</v>
      </c>
      <c r="B35" s="218" t="str">
        <f>'2. Tulud-kulud projektiga'!B35</f>
        <v>Ühik 8</v>
      </c>
      <c r="C35" s="219" t="str">
        <f>'2. Tulud-kulud projektiga'!C35</f>
        <v>m2</v>
      </c>
      <c r="D35" s="173"/>
      <c r="E35" s="173"/>
      <c r="F35" s="173"/>
      <c r="G35" s="173"/>
      <c r="H35" s="173"/>
      <c r="I35" s="173"/>
      <c r="J35" s="173"/>
      <c r="K35" s="173"/>
      <c r="L35" s="173"/>
      <c r="M35" s="173"/>
      <c r="N35" s="173"/>
      <c r="O35" s="173"/>
      <c r="P35" s="173"/>
      <c r="Q35" s="173"/>
      <c r="R35" s="173"/>
      <c r="S35" s="163"/>
      <c r="T35" s="163"/>
    </row>
    <row r="36" spans="1:20" hidden="1" outlineLevel="1" x14ac:dyDescent="0.35">
      <c r="A36" s="796"/>
      <c r="B36" s="218" t="s">
        <v>0</v>
      </c>
      <c r="C36" s="219" t="s">
        <v>3</v>
      </c>
      <c r="D36" s="173"/>
      <c r="E36" s="173"/>
      <c r="F36" s="173"/>
      <c r="G36" s="173"/>
      <c r="H36" s="173"/>
      <c r="I36" s="173"/>
      <c r="J36" s="173"/>
      <c r="K36" s="173"/>
      <c r="L36" s="173"/>
      <c r="M36" s="173"/>
      <c r="N36" s="173"/>
      <c r="O36" s="173"/>
      <c r="P36" s="173"/>
      <c r="Q36" s="173"/>
      <c r="R36" s="173"/>
      <c r="S36" s="163"/>
      <c r="T36" s="163"/>
    </row>
    <row r="37" spans="1:20" hidden="1" outlineLevel="1" x14ac:dyDescent="0.35">
      <c r="A37" s="796"/>
      <c r="B37" s="221" t="s">
        <v>1</v>
      </c>
      <c r="C37" s="222" t="s">
        <v>3</v>
      </c>
      <c r="D37" s="220">
        <f t="shared" ref="D37:R37" si="17">D35*D36</f>
        <v>0</v>
      </c>
      <c r="E37" s="220">
        <f t="shared" si="17"/>
        <v>0</v>
      </c>
      <c r="F37" s="220">
        <f t="shared" si="17"/>
        <v>0</v>
      </c>
      <c r="G37" s="220">
        <f t="shared" si="17"/>
        <v>0</v>
      </c>
      <c r="H37" s="220">
        <f t="shared" si="17"/>
        <v>0</v>
      </c>
      <c r="I37" s="220">
        <f t="shared" si="17"/>
        <v>0</v>
      </c>
      <c r="J37" s="220">
        <f t="shared" si="17"/>
        <v>0</v>
      </c>
      <c r="K37" s="220">
        <f t="shared" si="17"/>
        <v>0</v>
      </c>
      <c r="L37" s="220">
        <f t="shared" si="17"/>
        <v>0</v>
      </c>
      <c r="M37" s="220">
        <f t="shared" si="17"/>
        <v>0</v>
      </c>
      <c r="N37" s="220">
        <f t="shared" si="17"/>
        <v>0</v>
      </c>
      <c r="O37" s="220">
        <f t="shared" si="17"/>
        <v>0</v>
      </c>
      <c r="P37" s="220">
        <f t="shared" si="17"/>
        <v>0</v>
      </c>
      <c r="Q37" s="220">
        <f t="shared" ref="Q37" si="18">Q35*Q36</f>
        <v>0</v>
      </c>
      <c r="R37" s="220">
        <f t="shared" si="17"/>
        <v>0</v>
      </c>
      <c r="S37" s="163"/>
      <c r="T37" s="163"/>
    </row>
    <row r="38" spans="1:20" ht="5.25" hidden="1" customHeight="1" outlineLevel="1" x14ac:dyDescent="0.35">
      <c r="A38" s="223"/>
      <c r="B38" s="178"/>
      <c r="C38" s="179"/>
      <c r="D38" s="179"/>
      <c r="E38" s="179"/>
      <c r="F38" s="179"/>
      <c r="G38" s="179"/>
      <c r="H38" s="179"/>
      <c r="I38" s="179"/>
      <c r="J38" s="179"/>
      <c r="K38" s="179"/>
      <c r="L38" s="179"/>
      <c r="M38" s="179"/>
      <c r="N38" s="179"/>
      <c r="O38" s="179"/>
      <c r="P38" s="179"/>
      <c r="Q38" s="179"/>
      <c r="R38" s="180"/>
      <c r="S38" s="163"/>
      <c r="T38" s="163"/>
    </row>
    <row r="39" spans="1:20" hidden="1" outlineLevel="1" x14ac:dyDescent="0.35">
      <c r="A39" s="796">
        <f>'2. Tulud-kulud projektiga'!A39:A41</f>
        <v>0</v>
      </c>
      <c r="B39" s="218" t="str">
        <f>'2. Tulud-kulud projektiga'!B39</f>
        <v>Ühik 9</v>
      </c>
      <c r="C39" s="219" t="str">
        <f>'2. Tulud-kulud projektiga'!C39</f>
        <v>Kuud</v>
      </c>
      <c r="D39" s="173"/>
      <c r="E39" s="173"/>
      <c r="F39" s="173"/>
      <c r="G39" s="173"/>
      <c r="H39" s="173"/>
      <c r="I39" s="173"/>
      <c r="J39" s="173"/>
      <c r="K39" s="173"/>
      <c r="L39" s="173"/>
      <c r="M39" s="173"/>
      <c r="N39" s="173"/>
      <c r="O39" s="173"/>
      <c r="P39" s="173"/>
      <c r="Q39" s="173"/>
      <c r="R39" s="173"/>
      <c r="S39" s="163"/>
      <c r="T39" s="163"/>
    </row>
    <row r="40" spans="1:20" hidden="1" outlineLevel="1" x14ac:dyDescent="0.35">
      <c r="A40" s="796"/>
      <c r="B40" s="218" t="s">
        <v>0</v>
      </c>
      <c r="C40" s="219" t="s">
        <v>3</v>
      </c>
      <c r="D40" s="173"/>
      <c r="E40" s="173"/>
      <c r="F40" s="173"/>
      <c r="G40" s="173"/>
      <c r="H40" s="173"/>
      <c r="I40" s="173"/>
      <c r="J40" s="173"/>
      <c r="K40" s="173"/>
      <c r="L40" s="173"/>
      <c r="M40" s="173"/>
      <c r="N40" s="173"/>
      <c r="O40" s="173"/>
      <c r="P40" s="173"/>
      <c r="Q40" s="173"/>
      <c r="R40" s="173"/>
      <c r="S40" s="163"/>
      <c r="T40" s="163"/>
    </row>
    <row r="41" spans="1:20" hidden="1" outlineLevel="1" x14ac:dyDescent="0.35">
      <c r="A41" s="796"/>
      <c r="B41" s="221" t="s">
        <v>1</v>
      </c>
      <c r="C41" s="222" t="s">
        <v>3</v>
      </c>
      <c r="D41" s="220">
        <f t="shared" ref="D41:R41" si="19">D39*D40</f>
        <v>0</v>
      </c>
      <c r="E41" s="220">
        <f t="shared" si="19"/>
        <v>0</v>
      </c>
      <c r="F41" s="220">
        <f t="shared" si="19"/>
        <v>0</v>
      </c>
      <c r="G41" s="220">
        <f t="shared" si="19"/>
        <v>0</v>
      </c>
      <c r="H41" s="220">
        <f t="shared" si="19"/>
        <v>0</v>
      </c>
      <c r="I41" s="220">
        <f t="shared" si="19"/>
        <v>0</v>
      </c>
      <c r="J41" s="220">
        <f t="shared" si="19"/>
        <v>0</v>
      </c>
      <c r="K41" s="220">
        <f t="shared" si="19"/>
        <v>0</v>
      </c>
      <c r="L41" s="220">
        <f t="shared" si="19"/>
        <v>0</v>
      </c>
      <c r="M41" s="220">
        <f t="shared" si="19"/>
        <v>0</v>
      </c>
      <c r="N41" s="220">
        <f t="shared" si="19"/>
        <v>0</v>
      </c>
      <c r="O41" s="220">
        <f t="shared" si="19"/>
        <v>0</v>
      </c>
      <c r="P41" s="220">
        <f t="shared" si="19"/>
        <v>0</v>
      </c>
      <c r="Q41" s="220">
        <f t="shared" ref="Q41" si="20">Q39*Q40</f>
        <v>0</v>
      </c>
      <c r="R41" s="220">
        <f t="shared" si="19"/>
        <v>0</v>
      </c>
      <c r="S41" s="163"/>
      <c r="T41" s="163"/>
    </row>
    <row r="42" spans="1:20" ht="5.25" hidden="1" customHeight="1" outlineLevel="1" x14ac:dyDescent="0.35">
      <c r="A42" s="223"/>
      <c r="B42" s="178"/>
      <c r="C42" s="179"/>
      <c r="D42" s="179"/>
      <c r="E42" s="179"/>
      <c r="F42" s="179"/>
      <c r="G42" s="179"/>
      <c r="H42" s="179"/>
      <c r="I42" s="179"/>
      <c r="J42" s="179"/>
      <c r="K42" s="179"/>
      <c r="L42" s="179"/>
      <c r="M42" s="179"/>
      <c r="N42" s="179"/>
      <c r="O42" s="179"/>
      <c r="P42" s="179"/>
      <c r="Q42" s="179"/>
      <c r="R42" s="180"/>
      <c r="S42" s="163"/>
      <c r="T42" s="163"/>
    </row>
    <row r="43" spans="1:20" hidden="1" outlineLevel="1" x14ac:dyDescent="0.35">
      <c r="A43" s="796" t="str">
        <f>'2. Tulud-kulud projektiga'!A43:A45</f>
        <v>Arved üürnikele kommunaalkulude eest</v>
      </c>
      <c r="B43" s="218" t="str">
        <f>'2. Tulud-kulud projektiga'!B43</f>
        <v>Ühik 10</v>
      </c>
      <c r="C43" s="219" t="str">
        <f>'2. Tulud-kulud projektiga'!C43</f>
        <v>Kuud</v>
      </c>
      <c r="D43" s="173"/>
      <c r="E43" s="173"/>
      <c r="F43" s="173"/>
      <c r="G43" s="173"/>
      <c r="H43" s="173"/>
      <c r="I43" s="173"/>
      <c r="J43" s="173"/>
      <c r="K43" s="173"/>
      <c r="L43" s="173"/>
      <c r="M43" s="173"/>
      <c r="N43" s="173"/>
      <c r="O43" s="173"/>
      <c r="P43" s="173"/>
      <c r="Q43" s="173"/>
      <c r="R43" s="173"/>
      <c r="S43" s="163"/>
      <c r="T43" s="163"/>
    </row>
    <row r="44" spans="1:20" hidden="1" outlineLevel="1" x14ac:dyDescent="0.35">
      <c r="A44" s="796"/>
      <c r="B44" s="218" t="s">
        <v>0</v>
      </c>
      <c r="C44" s="219" t="s">
        <v>3</v>
      </c>
      <c r="D44" s="173"/>
      <c r="E44" s="173"/>
      <c r="F44" s="173"/>
      <c r="G44" s="173"/>
      <c r="H44" s="173"/>
      <c r="I44" s="173"/>
      <c r="J44" s="173"/>
      <c r="K44" s="173"/>
      <c r="L44" s="173"/>
      <c r="M44" s="173"/>
      <c r="N44" s="173"/>
      <c r="O44" s="173"/>
      <c r="P44" s="173"/>
      <c r="Q44" s="173"/>
      <c r="R44" s="173"/>
      <c r="S44" s="163"/>
      <c r="T44" s="163"/>
    </row>
    <row r="45" spans="1:20" hidden="1" outlineLevel="1" x14ac:dyDescent="0.35">
      <c r="A45" s="796"/>
      <c r="B45" s="221" t="s">
        <v>1</v>
      </c>
      <c r="C45" s="222" t="s">
        <v>3</v>
      </c>
      <c r="D45" s="220">
        <f t="shared" ref="D45:R45" si="21">D43*D44</f>
        <v>0</v>
      </c>
      <c r="E45" s="220">
        <f t="shared" si="21"/>
        <v>0</v>
      </c>
      <c r="F45" s="220">
        <f t="shared" si="21"/>
        <v>0</v>
      </c>
      <c r="G45" s="220">
        <f t="shared" si="21"/>
        <v>0</v>
      </c>
      <c r="H45" s="220">
        <f t="shared" si="21"/>
        <v>0</v>
      </c>
      <c r="I45" s="220">
        <f t="shared" si="21"/>
        <v>0</v>
      </c>
      <c r="J45" s="220">
        <f t="shared" si="21"/>
        <v>0</v>
      </c>
      <c r="K45" s="220">
        <f t="shared" si="21"/>
        <v>0</v>
      </c>
      <c r="L45" s="220">
        <f t="shared" si="21"/>
        <v>0</v>
      </c>
      <c r="M45" s="220">
        <f t="shared" si="21"/>
        <v>0</v>
      </c>
      <c r="N45" s="220">
        <f t="shared" si="21"/>
        <v>0</v>
      </c>
      <c r="O45" s="220">
        <f t="shared" si="21"/>
        <v>0</v>
      </c>
      <c r="P45" s="220">
        <f t="shared" si="21"/>
        <v>0</v>
      </c>
      <c r="Q45" s="220">
        <f t="shared" ref="Q45" si="22">Q43*Q44</f>
        <v>0</v>
      </c>
      <c r="R45" s="220">
        <f t="shared" si="21"/>
        <v>0</v>
      </c>
      <c r="S45" s="163"/>
      <c r="T45" s="163"/>
    </row>
    <row r="46" spans="1:20" ht="12" customHeight="1" collapsed="1" x14ac:dyDescent="0.35">
      <c r="A46" s="181"/>
      <c r="B46" s="178"/>
      <c r="C46" s="179"/>
      <c r="D46" s="179"/>
      <c r="E46" s="179"/>
      <c r="F46" s="179"/>
      <c r="G46" s="179"/>
      <c r="H46" s="179"/>
      <c r="I46" s="179"/>
      <c r="J46" s="179"/>
      <c r="K46" s="179"/>
      <c r="L46" s="179"/>
      <c r="M46" s="179"/>
      <c r="N46" s="179"/>
      <c r="O46" s="179"/>
      <c r="P46" s="179"/>
      <c r="Q46" s="179"/>
      <c r="R46" s="180"/>
      <c r="S46" s="163"/>
      <c r="T46" s="163"/>
    </row>
    <row r="47" spans="1:20" ht="18.75" customHeight="1" x14ac:dyDescent="0.35">
      <c r="A47" s="792" t="str">
        <f>'2. Tulud-kulud projektiga'!A47:B47</f>
        <v>Muu tulu (nimetage)</v>
      </c>
      <c r="B47" s="793"/>
      <c r="C47" s="222" t="s">
        <v>3</v>
      </c>
      <c r="D47" s="173"/>
      <c r="E47" s="173"/>
      <c r="F47" s="173"/>
      <c r="G47" s="173"/>
      <c r="H47" s="173"/>
      <c r="I47" s="173"/>
      <c r="J47" s="173"/>
      <c r="K47" s="173"/>
      <c r="L47" s="173"/>
      <c r="M47" s="173"/>
      <c r="N47" s="173"/>
      <c r="O47" s="173"/>
      <c r="P47" s="173"/>
      <c r="Q47" s="173"/>
      <c r="R47" s="173"/>
      <c r="S47" s="163"/>
      <c r="T47" s="163"/>
    </row>
    <row r="48" spans="1:20" ht="18.75" customHeight="1" x14ac:dyDescent="0.35">
      <c r="A48" s="792" t="str">
        <f>'2. Tulud-kulud projektiga'!A48:B48</f>
        <v>Muu tulu (nimetage)</v>
      </c>
      <c r="B48" s="793"/>
      <c r="C48" s="222" t="s">
        <v>3</v>
      </c>
      <c r="D48" s="173"/>
      <c r="E48" s="173"/>
      <c r="F48" s="173"/>
      <c r="G48" s="173"/>
      <c r="H48" s="173"/>
      <c r="I48" s="173"/>
      <c r="J48" s="173"/>
      <c r="K48" s="173"/>
      <c r="L48" s="173"/>
      <c r="M48" s="173"/>
      <c r="N48" s="173"/>
      <c r="O48" s="173"/>
      <c r="P48" s="173"/>
      <c r="Q48" s="173"/>
      <c r="R48" s="173"/>
      <c r="S48" s="163"/>
      <c r="T48" s="163"/>
    </row>
    <row r="49" spans="1:21" ht="18.75" customHeight="1" x14ac:dyDescent="0.35">
      <c r="A49" s="792" t="str">
        <f>'2. Tulud-kulud projektiga'!A49:B49</f>
        <v>Muu tulu (nimetage)</v>
      </c>
      <c r="B49" s="793"/>
      <c r="C49" s="222" t="s">
        <v>3</v>
      </c>
      <c r="D49" s="173"/>
      <c r="E49" s="173"/>
      <c r="F49" s="173"/>
      <c r="G49" s="173"/>
      <c r="H49" s="173"/>
      <c r="I49" s="173"/>
      <c r="J49" s="173"/>
      <c r="K49" s="173"/>
      <c r="L49" s="173"/>
      <c r="M49" s="173"/>
      <c r="N49" s="173"/>
      <c r="O49" s="173"/>
      <c r="P49" s="173"/>
      <c r="Q49" s="173"/>
      <c r="R49" s="173"/>
      <c r="S49" s="163"/>
      <c r="T49" s="163"/>
    </row>
    <row r="50" spans="1:21" ht="18.75" customHeight="1" x14ac:dyDescent="0.35">
      <c r="A50" s="792" t="str">
        <f>'2. Tulud-kulud projektiga'!A50:B50</f>
        <v>Muu tulu (nimetage)</v>
      </c>
      <c r="B50" s="793"/>
      <c r="C50" s="222" t="s">
        <v>3</v>
      </c>
      <c r="D50" s="173"/>
      <c r="E50" s="173"/>
      <c r="F50" s="173"/>
      <c r="G50" s="173"/>
      <c r="H50" s="173"/>
      <c r="I50" s="173"/>
      <c r="J50" s="173"/>
      <c r="K50" s="173"/>
      <c r="L50" s="173"/>
      <c r="M50" s="173"/>
      <c r="N50" s="173"/>
      <c r="O50" s="173"/>
      <c r="P50" s="173"/>
      <c r="Q50" s="173"/>
      <c r="R50" s="173"/>
      <c r="S50" s="163"/>
      <c r="T50" s="163"/>
    </row>
    <row r="51" spans="1:21" ht="18.75" customHeight="1" x14ac:dyDescent="0.35">
      <c r="A51" s="792" t="str">
        <f>'2. Tulud-kulud projektiga'!A51:B51</f>
        <v>Muu tulu (nimetage)</v>
      </c>
      <c r="B51" s="793"/>
      <c r="C51" s="222" t="s">
        <v>3</v>
      </c>
      <c r="D51" s="173"/>
      <c r="E51" s="173"/>
      <c r="F51" s="173"/>
      <c r="G51" s="173"/>
      <c r="H51" s="173"/>
      <c r="I51" s="173"/>
      <c r="J51" s="173"/>
      <c r="K51" s="173"/>
      <c r="L51" s="173"/>
      <c r="M51" s="173"/>
      <c r="N51" s="173"/>
      <c r="O51" s="173"/>
      <c r="P51" s="173"/>
      <c r="Q51" s="173"/>
      <c r="R51" s="173"/>
      <c r="S51" s="163"/>
      <c r="T51" s="163"/>
    </row>
    <row r="52" spans="1:21" ht="4.5" customHeight="1" x14ac:dyDescent="0.35">
      <c r="A52" s="157"/>
      <c r="B52" s="158"/>
      <c r="C52" s="160"/>
      <c r="D52" s="160"/>
      <c r="E52" s="160"/>
      <c r="F52" s="160"/>
      <c r="G52" s="160"/>
      <c r="H52" s="160"/>
      <c r="I52" s="160"/>
      <c r="J52" s="160"/>
      <c r="K52" s="160"/>
      <c r="L52" s="160"/>
      <c r="M52" s="160"/>
      <c r="N52" s="160"/>
      <c r="O52" s="160"/>
      <c r="P52" s="160"/>
      <c r="Q52" s="160"/>
      <c r="R52" s="170"/>
      <c r="S52" s="163"/>
      <c r="T52" s="163"/>
    </row>
    <row r="53" spans="1:21" s="185" customFormat="1" ht="21" customHeight="1" x14ac:dyDescent="0.35">
      <c r="A53" s="794" t="s">
        <v>8</v>
      </c>
      <c r="B53" s="795"/>
      <c r="C53" s="224" t="s">
        <v>3</v>
      </c>
      <c r="D53" s="225">
        <f t="shared" ref="D53:R53" si="23">D9+D13+D17+D21+D25+D29+D33+D37+D41+D45+D47+D48+D49+D50+D51</f>
        <v>0</v>
      </c>
      <c r="E53" s="225">
        <f t="shared" si="23"/>
        <v>0</v>
      </c>
      <c r="F53" s="225">
        <f t="shared" si="23"/>
        <v>0</v>
      </c>
      <c r="G53" s="225">
        <f t="shared" si="23"/>
        <v>0</v>
      </c>
      <c r="H53" s="225">
        <f t="shared" si="23"/>
        <v>0</v>
      </c>
      <c r="I53" s="225">
        <f t="shared" si="23"/>
        <v>0</v>
      </c>
      <c r="J53" s="225">
        <f t="shared" si="23"/>
        <v>0</v>
      </c>
      <c r="K53" s="225">
        <f t="shared" si="23"/>
        <v>0</v>
      </c>
      <c r="L53" s="225">
        <f t="shared" si="23"/>
        <v>0</v>
      </c>
      <c r="M53" s="225">
        <f t="shared" si="23"/>
        <v>0</v>
      </c>
      <c r="N53" s="225">
        <f t="shared" si="23"/>
        <v>0</v>
      </c>
      <c r="O53" s="225">
        <f t="shared" si="23"/>
        <v>0</v>
      </c>
      <c r="P53" s="225">
        <f t="shared" si="23"/>
        <v>0</v>
      </c>
      <c r="Q53" s="225">
        <f t="shared" ref="Q53" si="24">Q9+Q13+Q17+Q21+Q25+Q29+Q33+Q37+Q41+Q45+Q47+Q48+Q49+Q50+Q51</f>
        <v>0</v>
      </c>
      <c r="R53" s="225">
        <f t="shared" si="23"/>
        <v>0</v>
      </c>
      <c r="S53" s="184"/>
      <c r="T53" s="184"/>
    </row>
    <row r="54" spans="1:21" ht="4.5" customHeight="1" x14ac:dyDescent="0.35">
      <c r="A54" s="157"/>
      <c r="B54" s="158"/>
      <c r="C54" s="160"/>
      <c r="D54" s="160"/>
      <c r="E54" s="160"/>
      <c r="F54" s="160"/>
      <c r="G54" s="160"/>
      <c r="H54" s="160"/>
      <c r="I54" s="160"/>
      <c r="J54" s="160"/>
      <c r="K54" s="160"/>
      <c r="L54" s="160"/>
      <c r="M54" s="160"/>
      <c r="N54" s="160"/>
      <c r="O54" s="160"/>
      <c r="P54" s="160"/>
      <c r="Q54" s="160"/>
      <c r="R54" s="170"/>
      <c r="S54" s="163"/>
      <c r="T54" s="163"/>
    </row>
    <row r="55" spans="1:21" ht="9" customHeight="1" x14ac:dyDescent="0.35">
      <c r="B55" s="186"/>
      <c r="C55" s="163"/>
      <c r="D55" s="163"/>
      <c r="E55" s="163"/>
      <c r="F55" s="163"/>
      <c r="G55" s="163"/>
      <c r="H55" s="163"/>
      <c r="I55" s="163"/>
      <c r="J55" s="163"/>
      <c r="K55" s="163"/>
      <c r="L55" s="163"/>
      <c r="M55" s="163"/>
      <c r="N55" s="163"/>
      <c r="O55" s="163"/>
      <c r="P55" s="163"/>
      <c r="Q55" s="163"/>
      <c r="R55" s="163"/>
      <c r="S55" s="163"/>
      <c r="T55" s="163"/>
    </row>
    <row r="56" spans="1:21" ht="15.5" x14ac:dyDescent="0.35">
      <c r="A56" s="187" t="s">
        <v>9</v>
      </c>
      <c r="B56" s="186"/>
      <c r="C56" s="163"/>
      <c r="D56" s="163"/>
      <c r="E56" s="163"/>
      <c r="F56" s="163"/>
      <c r="G56" s="163"/>
      <c r="H56" s="163"/>
      <c r="I56" s="163"/>
      <c r="J56" s="163"/>
      <c r="K56" s="163"/>
      <c r="L56" s="163"/>
      <c r="M56" s="163"/>
      <c r="N56" s="163"/>
      <c r="O56" s="163"/>
      <c r="P56" s="163"/>
      <c r="Q56" s="163"/>
      <c r="R56" s="163"/>
      <c r="S56" s="163"/>
      <c r="T56" s="163"/>
    </row>
    <row r="57" spans="1:21" ht="4.5" customHeight="1" x14ac:dyDescent="0.35">
      <c r="A57" s="157"/>
      <c r="B57" s="158"/>
      <c r="C57" s="160"/>
      <c r="D57" s="160"/>
      <c r="E57" s="160"/>
      <c r="F57" s="160"/>
      <c r="G57" s="160"/>
      <c r="H57" s="160"/>
      <c r="I57" s="160"/>
      <c r="J57" s="160"/>
      <c r="K57" s="160"/>
      <c r="L57" s="160"/>
      <c r="M57" s="160"/>
      <c r="N57" s="160"/>
      <c r="O57" s="160"/>
      <c r="P57" s="160"/>
      <c r="Q57" s="160"/>
      <c r="R57" s="170"/>
      <c r="S57" s="163"/>
      <c r="T57" s="163"/>
    </row>
    <row r="58" spans="1:21" x14ac:dyDescent="0.35">
      <c r="A58" s="796" t="str">
        <f>'2. Tulud-kulud projektiga'!A58:A79</f>
        <v>Tööjõukulud</v>
      </c>
      <c r="B58" s="218" t="str">
        <f>'2. Tulud-kulud projektiga'!B58</f>
        <v>Haldusjuht</v>
      </c>
      <c r="C58" s="219" t="s">
        <v>3</v>
      </c>
      <c r="D58" s="173"/>
      <c r="E58" s="173"/>
      <c r="F58" s="173"/>
      <c r="G58" s="173"/>
      <c r="H58" s="173"/>
      <c r="I58" s="173"/>
      <c r="J58" s="173"/>
      <c r="K58" s="173"/>
      <c r="L58" s="173"/>
      <c r="M58" s="173"/>
      <c r="N58" s="173"/>
      <c r="O58" s="173"/>
      <c r="P58" s="173"/>
      <c r="Q58" s="173"/>
      <c r="R58" s="173"/>
      <c r="S58" s="188"/>
      <c r="T58" s="188"/>
      <c r="U58" s="189"/>
    </row>
    <row r="59" spans="1:21" x14ac:dyDescent="0.35">
      <c r="A59" s="796"/>
      <c r="B59" s="218" t="str">
        <f>'2. Tulud-kulud projektiga'!B59</f>
        <v>Majandusjuht</v>
      </c>
      <c r="C59" s="219" t="s">
        <v>3</v>
      </c>
      <c r="D59" s="173"/>
      <c r="E59" s="173"/>
      <c r="F59" s="173"/>
      <c r="G59" s="173"/>
      <c r="H59" s="173"/>
      <c r="I59" s="173"/>
      <c r="J59" s="173"/>
      <c r="K59" s="173"/>
      <c r="L59" s="173"/>
      <c r="M59" s="173"/>
      <c r="N59" s="173"/>
      <c r="O59" s="173"/>
      <c r="P59" s="173"/>
      <c r="Q59" s="173"/>
      <c r="R59" s="173"/>
      <c r="S59" s="188"/>
      <c r="T59" s="188"/>
      <c r="U59" s="189"/>
    </row>
    <row r="60" spans="1:21" x14ac:dyDescent="0.35">
      <c r="A60" s="796"/>
      <c r="B60" s="218" t="str">
        <f>'2. Tulud-kulud projektiga'!B60</f>
        <v>Arendusjuht</v>
      </c>
      <c r="C60" s="219" t="s">
        <v>3</v>
      </c>
      <c r="D60" s="173"/>
      <c r="E60" s="173"/>
      <c r="F60" s="173"/>
      <c r="G60" s="173"/>
      <c r="H60" s="173"/>
      <c r="I60" s="173"/>
      <c r="J60" s="173"/>
      <c r="K60" s="173"/>
      <c r="L60" s="173"/>
      <c r="M60" s="173"/>
      <c r="N60" s="173"/>
      <c r="O60" s="173"/>
      <c r="P60" s="173"/>
      <c r="Q60" s="173"/>
      <c r="R60" s="173"/>
      <c r="S60" s="188"/>
      <c r="T60" s="188"/>
      <c r="U60" s="189"/>
    </row>
    <row r="61" spans="1:21" x14ac:dyDescent="0.35">
      <c r="A61" s="796"/>
      <c r="B61" s="218">
        <f>'2. Tulud-kulud projektiga'!B61</f>
        <v>0</v>
      </c>
      <c r="C61" s="219" t="s">
        <v>3</v>
      </c>
      <c r="D61" s="173"/>
      <c r="E61" s="173"/>
      <c r="F61" s="173"/>
      <c r="G61" s="173"/>
      <c r="H61" s="173"/>
      <c r="I61" s="173"/>
      <c r="J61" s="173"/>
      <c r="K61" s="173"/>
      <c r="L61" s="173"/>
      <c r="M61" s="173"/>
      <c r="N61" s="173"/>
      <c r="O61" s="173"/>
      <c r="P61" s="173"/>
      <c r="Q61" s="173"/>
      <c r="R61" s="173"/>
      <c r="S61" s="188"/>
      <c r="T61" s="188"/>
      <c r="U61" s="189"/>
    </row>
    <row r="62" spans="1:21" x14ac:dyDescent="0.35">
      <c r="A62" s="796"/>
      <c r="B62" s="218" t="str">
        <f>'2. Tulud-kulud projektiga'!B62</f>
        <v>Töötaja 5</v>
      </c>
      <c r="C62" s="219" t="s">
        <v>3</v>
      </c>
      <c r="D62" s="173"/>
      <c r="E62" s="173"/>
      <c r="F62" s="173"/>
      <c r="G62" s="173"/>
      <c r="H62" s="173"/>
      <c r="I62" s="173"/>
      <c r="J62" s="173"/>
      <c r="K62" s="173"/>
      <c r="L62" s="173"/>
      <c r="M62" s="173"/>
      <c r="N62" s="173"/>
      <c r="O62" s="173"/>
      <c r="P62" s="173"/>
      <c r="Q62" s="173"/>
      <c r="R62" s="173"/>
      <c r="S62" s="188"/>
      <c r="T62" s="188"/>
      <c r="U62" s="189"/>
    </row>
    <row r="63" spans="1:21" x14ac:dyDescent="0.35">
      <c r="A63" s="796"/>
      <c r="B63" s="218" t="str">
        <f>'2. Tulud-kulud projektiga'!B63</f>
        <v>Töötaja 6</v>
      </c>
      <c r="C63" s="219" t="s">
        <v>3</v>
      </c>
      <c r="D63" s="173"/>
      <c r="E63" s="173"/>
      <c r="F63" s="173"/>
      <c r="G63" s="173"/>
      <c r="H63" s="173"/>
      <c r="I63" s="173"/>
      <c r="J63" s="173"/>
      <c r="K63" s="173"/>
      <c r="L63" s="173"/>
      <c r="M63" s="173"/>
      <c r="N63" s="173"/>
      <c r="O63" s="173"/>
      <c r="P63" s="173"/>
      <c r="Q63" s="173"/>
      <c r="R63" s="173"/>
      <c r="S63" s="188"/>
      <c r="T63" s="188"/>
      <c r="U63" s="189"/>
    </row>
    <row r="64" spans="1:21" x14ac:dyDescent="0.35">
      <c r="A64" s="796"/>
      <c r="B64" s="218" t="str">
        <f>'2. Tulud-kulud projektiga'!B64</f>
        <v>Töötaja 7</v>
      </c>
      <c r="C64" s="219" t="s">
        <v>3</v>
      </c>
      <c r="D64" s="173"/>
      <c r="E64" s="173"/>
      <c r="F64" s="173"/>
      <c r="G64" s="173"/>
      <c r="H64" s="173"/>
      <c r="I64" s="173"/>
      <c r="J64" s="173"/>
      <c r="K64" s="173"/>
      <c r="L64" s="173"/>
      <c r="M64" s="173"/>
      <c r="N64" s="173"/>
      <c r="O64" s="173"/>
      <c r="P64" s="173"/>
      <c r="Q64" s="173"/>
      <c r="R64" s="173"/>
      <c r="S64" s="188"/>
      <c r="T64" s="188"/>
      <c r="U64" s="189"/>
    </row>
    <row r="65" spans="1:21" x14ac:dyDescent="0.35">
      <c r="A65" s="796"/>
      <c r="B65" s="218" t="str">
        <f>'2. Tulud-kulud projektiga'!B65</f>
        <v>Töötaja 8</v>
      </c>
      <c r="C65" s="219" t="s">
        <v>3</v>
      </c>
      <c r="D65" s="173"/>
      <c r="E65" s="173"/>
      <c r="F65" s="173"/>
      <c r="G65" s="173"/>
      <c r="H65" s="173"/>
      <c r="I65" s="173"/>
      <c r="J65" s="173"/>
      <c r="K65" s="173"/>
      <c r="L65" s="173"/>
      <c r="M65" s="173"/>
      <c r="N65" s="173"/>
      <c r="O65" s="173"/>
      <c r="P65" s="173"/>
      <c r="Q65" s="173"/>
      <c r="R65" s="173"/>
      <c r="S65" s="188"/>
      <c r="T65" s="188"/>
      <c r="U65" s="189"/>
    </row>
    <row r="66" spans="1:21" x14ac:dyDescent="0.35">
      <c r="A66" s="796"/>
      <c r="B66" s="218" t="str">
        <f>'2. Tulud-kulud projektiga'!B66</f>
        <v>Töötaja 9</v>
      </c>
      <c r="C66" s="219" t="s">
        <v>3</v>
      </c>
      <c r="D66" s="173"/>
      <c r="E66" s="173"/>
      <c r="F66" s="173"/>
      <c r="G66" s="173"/>
      <c r="H66" s="173"/>
      <c r="I66" s="173"/>
      <c r="J66" s="173"/>
      <c r="K66" s="173"/>
      <c r="L66" s="173"/>
      <c r="M66" s="173"/>
      <c r="N66" s="173"/>
      <c r="O66" s="173"/>
      <c r="P66" s="173"/>
      <c r="Q66" s="173"/>
      <c r="R66" s="173"/>
      <c r="S66" s="188"/>
      <c r="T66" s="188"/>
      <c r="U66" s="189"/>
    </row>
    <row r="67" spans="1:21" x14ac:dyDescent="0.35">
      <c r="A67" s="796"/>
      <c r="B67" s="218" t="str">
        <f>'2. Tulud-kulud projektiga'!B67</f>
        <v>Töötaja 10</v>
      </c>
      <c r="C67" s="219" t="s">
        <v>3</v>
      </c>
      <c r="D67" s="173"/>
      <c r="E67" s="173"/>
      <c r="F67" s="173"/>
      <c r="G67" s="173"/>
      <c r="H67" s="173"/>
      <c r="I67" s="173"/>
      <c r="J67" s="173"/>
      <c r="K67" s="173"/>
      <c r="L67" s="173"/>
      <c r="M67" s="173"/>
      <c r="N67" s="173"/>
      <c r="O67" s="173"/>
      <c r="P67" s="173"/>
      <c r="Q67" s="173"/>
      <c r="R67" s="173"/>
      <c r="S67" s="188"/>
      <c r="T67" s="188"/>
      <c r="U67" s="189"/>
    </row>
    <row r="68" spans="1:21" hidden="1" outlineLevel="1" x14ac:dyDescent="0.35">
      <c r="A68" s="796"/>
      <c r="B68" s="218" t="str">
        <f>'2. Tulud-kulud projektiga'!B68</f>
        <v>Töötaja 11</v>
      </c>
      <c r="C68" s="219" t="s">
        <v>3</v>
      </c>
      <c r="D68" s="173"/>
      <c r="E68" s="173"/>
      <c r="F68" s="173"/>
      <c r="G68" s="173"/>
      <c r="H68" s="173"/>
      <c r="I68" s="173"/>
      <c r="J68" s="173"/>
      <c r="K68" s="173"/>
      <c r="L68" s="173"/>
      <c r="M68" s="173"/>
      <c r="N68" s="173"/>
      <c r="O68" s="173"/>
      <c r="P68" s="173"/>
      <c r="Q68" s="173"/>
      <c r="R68" s="173"/>
      <c r="S68" s="188"/>
      <c r="T68" s="188"/>
      <c r="U68" s="189"/>
    </row>
    <row r="69" spans="1:21" hidden="1" outlineLevel="1" x14ac:dyDescent="0.35">
      <c r="A69" s="796"/>
      <c r="B69" s="218" t="str">
        <f>'2. Tulud-kulud projektiga'!B69</f>
        <v>Töötaja 12</v>
      </c>
      <c r="C69" s="219" t="s">
        <v>3</v>
      </c>
      <c r="D69" s="173"/>
      <c r="E69" s="173"/>
      <c r="F69" s="173"/>
      <c r="G69" s="173"/>
      <c r="H69" s="173"/>
      <c r="I69" s="173"/>
      <c r="J69" s="173"/>
      <c r="K69" s="173"/>
      <c r="L69" s="173"/>
      <c r="M69" s="173"/>
      <c r="N69" s="173"/>
      <c r="O69" s="173"/>
      <c r="P69" s="173"/>
      <c r="Q69" s="173"/>
      <c r="R69" s="173"/>
      <c r="S69" s="188"/>
      <c r="T69" s="188"/>
      <c r="U69" s="189"/>
    </row>
    <row r="70" spans="1:21" hidden="1" outlineLevel="1" x14ac:dyDescent="0.35">
      <c r="A70" s="796"/>
      <c r="B70" s="218" t="str">
        <f>'2. Tulud-kulud projektiga'!B70</f>
        <v>Töötaja 13</v>
      </c>
      <c r="C70" s="219" t="s">
        <v>3</v>
      </c>
      <c r="D70" s="173"/>
      <c r="E70" s="173"/>
      <c r="F70" s="173"/>
      <c r="G70" s="173"/>
      <c r="H70" s="173"/>
      <c r="I70" s="173"/>
      <c r="J70" s="173"/>
      <c r="K70" s="173"/>
      <c r="L70" s="173"/>
      <c r="M70" s="173"/>
      <c r="N70" s="173"/>
      <c r="O70" s="173"/>
      <c r="P70" s="173"/>
      <c r="Q70" s="173"/>
      <c r="R70" s="173"/>
      <c r="S70" s="188"/>
      <c r="T70" s="188"/>
      <c r="U70" s="189"/>
    </row>
    <row r="71" spans="1:21" hidden="1" outlineLevel="1" x14ac:dyDescent="0.35">
      <c r="A71" s="796"/>
      <c r="B71" s="218" t="str">
        <f>'2. Tulud-kulud projektiga'!B71</f>
        <v>Töötaja 14</v>
      </c>
      <c r="C71" s="219" t="s">
        <v>3</v>
      </c>
      <c r="D71" s="173"/>
      <c r="E71" s="173"/>
      <c r="F71" s="173"/>
      <c r="G71" s="173"/>
      <c r="H71" s="173"/>
      <c r="I71" s="173"/>
      <c r="J71" s="173"/>
      <c r="K71" s="173"/>
      <c r="L71" s="173"/>
      <c r="M71" s="173"/>
      <c r="N71" s="173"/>
      <c r="O71" s="173"/>
      <c r="P71" s="173"/>
      <c r="Q71" s="173"/>
      <c r="R71" s="173"/>
      <c r="S71" s="188"/>
      <c r="T71" s="188"/>
      <c r="U71" s="189"/>
    </row>
    <row r="72" spans="1:21" hidden="1" outlineLevel="1" x14ac:dyDescent="0.35">
      <c r="A72" s="796"/>
      <c r="B72" s="218" t="str">
        <f>'2. Tulud-kulud projektiga'!B72</f>
        <v>Töötaja 15</v>
      </c>
      <c r="C72" s="219" t="s">
        <v>3</v>
      </c>
      <c r="D72" s="173"/>
      <c r="E72" s="173"/>
      <c r="F72" s="173"/>
      <c r="G72" s="173"/>
      <c r="H72" s="173"/>
      <c r="I72" s="173"/>
      <c r="J72" s="173"/>
      <c r="K72" s="173"/>
      <c r="L72" s="173"/>
      <c r="M72" s="173"/>
      <c r="N72" s="173"/>
      <c r="O72" s="173"/>
      <c r="P72" s="173"/>
      <c r="Q72" s="173"/>
      <c r="R72" s="173"/>
      <c r="S72" s="188"/>
      <c r="T72" s="188"/>
      <c r="U72" s="189"/>
    </row>
    <row r="73" spans="1:21" hidden="1" outlineLevel="1" x14ac:dyDescent="0.35">
      <c r="A73" s="796"/>
      <c r="B73" s="218" t="str">
        <f>'2. Tulud-kulud projektiga'!B73</f>
        <v>Töötaja 16</v>
      </c>
      <c r="C73" s="219" t="s">
        <v>3</v>
      </c>
      <c r="D73" s="173"/>
      <c r="E73" s="173"/>
      <c r="F73" s="173"/>
      <c r="G73" s="173"/>
      <c r="H73" s="173"/>
      <c r="I73" s="173"/>
      <c r="J73" s="173"/>
      <c r="K73" s="173"/>
      <c r="L73" s="173"/>
      <c r="M73" s="173"/>
      <c r="N73" s="173"/>
      <c r="O73" s="173"/>
      <c r="P73" s="173"/>
      <c r="Q73" s="173"/>
      <c r="R73" s="173"/>
      <c r="S73" s="188"/>
      <c r="T73" s="188"/>
      <c r="U73" s="189"/>
    </row>
    <row r="74" spans="1:21" hidden="1" outlineLevel="1" x14ac:dyDescent="0.35">
      <c r="A74" s="796"/>
      <c r="B74" s="218" t="str">
        <f>'2. Tulud-kulud projektiga'!B74</f>
        <v>Töötaja 17</v>
      </c>
      <c r="C74" s="219" t="s">
        <v>3</v>
      </c>
      <c r="D74" s="173"/>
      <c r="E74" s="173"/>
      <c r="F74" s="173"/>
      <c r="G74" s="173"/>
      <c r="H74" s="173"/>
      <c r="I74" s="173"/>
      <c r="J74" s="173"/>
      <c r="K74" s="173"/>
      <c r="L74" s="173"/>
      <c r="M74" s="173"/>
      <c r="N74" s="173"/>
      <c r="O74" s="173"/>
      <c r="P74" s="173"/>
      <c r="Q74" s="173"/>
      <c r="R74" s="173"/>
      <c r="S74" s="188"/>
      <c r="T74" s="188"/>
      <c r="U74" s="189"/>
    </row>
    <row r="75" spans="1:21" hidden="1" outlineLevel="1" x14ac:dyDescent="0.35">
      <c r="A75" s="796"/>
      <c r="B75" s="218" t="str">
        <f>'2. Tulud-kulud projektiga'!B75</f>
        <v>Töötaja 18</v>
      </c>
      <c r="C75" s="219" t="s">
        <v>3</v>
      </c>
      <c r="D75" s="173"/>
      <c r="E75" s="173"/>
      <c r="F75" s="173"/>
      <c r="G75" s="173"/>
      <c r="H75" s="173"/>
      <c r="I75" s="173"/>
      <c r="J75" s="173"/>
      <c r="K75" s="173"/>
      <c r="L75" s="173"/>
      <c r="M75" s="173"/>
      <c r="N75" s="173"/>
      <c r="O75" s="173"/>
      <c r="P75" s="173"/>
      <c r="Q75" s="173"/>
      <c r="R75" s="173"/>
      <c r="S75" s="188"/>
      <c r="T75" s="188"/>
      <c r="U75" s="189"/>
    </row>
    <row r="76" spans="1:21" hidden="1" outlineLevel="1" x14ac:dyDescent="0.35">
      <c r="A76" s="796"/>
      <c r="B76" s="218" t="str">
        <f>'2. Tulud-kulud projektiga'!B76</f>
        <v>Töötaja 19</v>
      </c>
      <c r="C76" s="219" t="s">
        <v>3</v>
      </c>
      <c r="D76" s="173"/>
      <c r="E76" s="173"/>
      <c r="F76" s="173"/>
      <c r="G76" s="173"/>
      <c r="H76" s="173"/>
      <c r="I76" s="173"/>
      <c r="J76" s="173"/>
      <c r="K76" s="173"/>
      <c r="L76" s="173"/>
      <c r="M76" s="173"/>
      <c r="N76" s="173"/>
      <c r="O76" s="173"/>
      <c r="P76" s="173"/>
      <c r="Q76" s="173"/>
      <c r="R76" s="173"/>
      <c r="S76" s="188"/>
      <c r="T76" s="188"/>
      <c r="U76" s="189"/>
    </row>
    <row r="77" spans="1:21" hidden="1" outlineLevel="1" x14ac:dyDescent="0.35">
      <c r="A77" s="796"/>
      <c r="B77" s="218" t="str">
        <f>'2. Tulud-kulud projektiga'!B77</f>
        <v>Töötaja 20</v>
      </c>
      <c r="C77" s="219" t="s">
        <v>3</v>
      </c>
      <c r="D77" s="173"/>
      <c r="E77" s="173"/>
      <c r="F77" s="173"/>
      <c r="G77" s="173"/>
      <c r="H77" s="173"/>
      <c r="I77" s="173"/>
      <c r="J77" s="173"/>
      <c r="K77" s="173"/>
      <c r="L77" s="173"/>
      <c r="M77" s="173"/>
      <c r="N77" s="173"/>
      <c r="O77" s="173"/>
      <c r="P77" s="173"/>
      <c r="Q77" s="173"/>
      <c r="R77" s="173"/>
      <c r="S77" s="188"/>
      <c r="T77" s="188"/>
      <c r="U77" s="189"/>
    </row>
    <row r="78" spans="1:21" collapsed="1" x14ac:dyDescent="0.35">
      <c r="A78" s="796"/>
      <c r="B78" s="218" t="s">
        <v>18</v>
      </c>
      <c r="C78" s="219" t="s">
        <v>3</v>
      </c>
      <c r="D78" s="226">
        <f t="shared" ref="D78:R78" si="25">SUM(D58:D77)</f>
        <v>0</v>
      </c>
      <c r="E78" s="226">
        <f t="shared" si="25"/>
        <v>0</v>
      </c>
      <c r="F78" s="226">
        <f t="shared" si="25"/>
        <v>0</v>
      </c>
      <c r="G78" s="226">
        <f t="shared" si="25"/>
        <v>0</v>
      </c>
      <c r="H78" s="226">
        <f t="shared" si="25"/>
        <v>0</v>
      </c>
      <c r="I78" s="226">
        <f t="shared" si="25"/>
        <v>0</v>
      </c>
      <c r="J78" s="226">
        <f t="shared" si="25"/>
        <v>0</v>
      </c>
      <c r="K78" s="226">
        <f t="shared" si="25"/>
        <v>0</v>
      </c>
      <c r="L78" s="226">
        <f t="shared" si="25"/>
        <v>0</v>
      </c>
      <c r="M78" s="226">
        <f t="shared" si="25"/>
        <v>0</v>
      </c>
      <c r="N78" s="226">
        <f t="shared" si="25"/>
        <v>0</v>
      </c>
      <c r="O78" s="226">
        <f t="shared" si="25"/>
        <v>0</v>
      </c>
      <c r="P78" s="226">
        <f t="shared" si="25"/>
        <v>0</v>
      </c>
      <c r="Q78" s="226">
        <f t="shared" ref="Q78" si="26">SUM(Q58:Q77)</f>
        <v>0</v>
      </c>
      <c r="R78" s="226">
        <f t="shared" si="25"/>
        <v>0</v>
      </c>
      <c r="S78" s="188"/>
      <c r="T78" s="188"/>
      <c r="U78" s="189"/>
    </row>
    <row r="79" spans="1:21" x14ac:dyDescent="0.35">
      <c r="A79" s="796"/>
      <c r="B79" s="218" t="s">
        <v>17</v>
      </c>
      <c r="C79" s="227"/>
      <c r="D79" s="226">
        <f>D78*Maksumäärad!B5</f>
        <v>0</v>
      </c>
      <c r="E79" s="226">
        <f>E78*Maksumäärad!C5</f>
        <v>0</v>
      </c>
      <c r="F79" s="226">
        <f>F78*Maksumäärad!D5</f>
        <v>0</v>
      </c>
      <c r="G79" s="226">
        <f>G78*Maksumäärad!E5</f>
        <v>0</v>
      </c>
      <c r="H79" s="226">
        <f>H78*Maksumäärad!F5</f>
        <v>0</v>
      </c>
      <c r="I79" s="226">
        <f>I78*Maksumäärad!G5</f>
        <v>0</v>
      </c>
      <c r="J79" s="226">
        <f>J78*Maksumäärad!H5</f>
        <v>0</v>
      </c>
      <c r="K79" s="226">
        <f>K78*Maksumäärad!I5</f>
        <v>0</v>
      </c>
      <c r="L79" s="226">
        <f>L78*Maksumäärad!J5</f>
        <v>0</v>
      </c>
      <c r="M79" s="226">
        <f>M78*Maksumäärad!K5</f>
        <v>0</v>
      </c>
      <c r="N79" s="226">
        <f>N78*Maksumäärad!L5</f>
        <v>0</v>
      </c>
      <c r="O79" s="226">
        <f>O78*Maksumäärad!M5</f>
        <v>0</v>
      </c>
      <c r="P79" s="226">
        <f>P78*Maksumäärad!N5</f>
        <v>0</v>
      </c>
      <c r="Q79" s="226">
        <f>Q78*Maksumäärad!O5</f>
        <v>0</v>
      </c>
      <c r="R79" s="226">
        <f>R78*Maksumäärad!P5</f>
        <v>0</v>
      </c>
      <c r="S79" s="188"/>
      <c r="T79" s="188"/>
      <c r="U79" s="189"/>
    </row>
    <row r="80" spans="1:21" x14ac:dyDescent="0.35">
      <c r="A80" s="788" t="s">
        <v>19</v>
      </c>
      <c r="B80" s="789"/>
      <c r="C80" s="228"/>
      <c r="D80" s="229">
        <f t="shared" ref="D80:R80" si="27">SUM(D78:D79)</f>
        <v>0</v>
      </c>
      <c r="E80" s="229">
        <f t="shared" si="27"/>
        <v>0</v>
      </c>
      <c r="F80" s="229">
        <f t="shared" si="27"/>
        <v>0</v>
      </c>
      <c r="G80" s="229">
        <f t="shared" si="27"/>
        <v>0</v>
      </c>
      <c r="H80" s="229">
        <f t="shared" si="27"/>
        <v>0</v>
      </c>
      <c r="I80" s="229">
        <f t="shared" si="27"/>
        <v>0</v>
      </c>
      <c r="J80" s="229">
        <f t="shared" si="27"/>
        <v>0</v>
      </c>
      <c r="K80" s="229">
        <f t="shared" si="27"/>
        <v>0</v>
      </c>
      <c r="L80" s="229">
        <f t="shared" si="27"/>
        <v>0</v>
      </c>
      <c r="M80" s="229">
        <f t="shared" si="27"/>
        <v>0</v>
      </c>
      <c r="N80" s="229">
        <f t="shared" si="27"/>
        <v>0</v>
      </c>
      <c r="O80" s="229">
        <f t="shared" si="27"/>
        <v>0</v>
      </c>
      <c r="P80" s="229">
        <f t="shared" si="27"/>
        <v>0</v>
      </c>
      <c r="Q80" s="229">
        <f t="shared" ref="Q80" si="28">SUM(Q78:Q79)</f>
        <v>0</v>
      </c>
      <c r="R80" s="229">
        <f t="shared" si="27"/>
        <v>0</v>
      </c>
      <c r="S80" s="188"/>
      <c r="T80" s="188"/>
      <c r="U80" s="189"/>
    </row>
    <row r="81" spans="1:21" ht="4.5" customHeight="1" x14ac:dyDescent="0.35">
      <c r="A81" s="157"/>
      <c r="B81" s="158"/>
      <c r="C81" s="160"/>
      <c r="D81" s="194"/>
      <c r="E81" s="194"/>
      <c r="F81" s="194"/>
      <c r="G81" s="194"/>
      <c r="H81" s="194"/>
      <c r="I81" s="194"/>
      <c r="J81" s="194"/>
      <c r="K81" s="194"/>
      <c r="L81" s="194"/>
      <c r="M81" s="194"/>
      <c r="N81" s="194"/>
      <c r="O81" s="194"/>
      <c r="P81" s="194"/>
      <c r="Q81" s="194"/>
      <c r="R81" s="195"/>
      <c r="S81" s="188"/>
      <c r="T81" s="188"/>
      <c r="U81" s="189"/>
    </row>
    <row r="82" spans="1:21" x14ac:dyDescent="0.35">
      <c r="A82" s="796" t="str">
        <f>'2. Tulud-kulud projektiga'!A82:A91</f>
        <v>Halduskulud</v>
      </c>
      <c r="B82" s="218" t="str">
        <f>'2. Tulud-kulud projektiga'!B82</f>
        <v>Küte</v>
      </c>
      <c r="C82" s="219" t="s">
        <v>3</v>
      </c>
      <c r="D82" s="173"/>
      <c r="E82" s="173"/>
      <c r="F82" s="173"/>
      <c r="G82" s="173"/>
      <c r="H82" s="173"/>
      <c r="I82" s="173"/>
      <c r="J82" s="173"/>
      <c r="K82" s="173"/>
      <c r="L82" s="173"/>
      <c r="M82" s="173"/>
      <c r="N82" s="173"/>
      <c r="O82" s="173"/>
      <c r="P82" s="173"/>
      <c r="Q82" s="173"/>
      <c r="R82" s="173"/>
      <c r="S82" s="188"/>
      <c r="T82" s="188"/>
      <c r="U82" s="189"/>
    </row>
    <row r="83" spans="1:21" x14ac:dyDescent="0.35">
      <c r="A83" s="796"/>
      <c r="B83" s="218" t="str">
        <f>'2. Tulud-kulud projektiga'!B83</f>
        <v>Elekter</v>
      </c>
      <c r="C83" s="219" t="s">
        <v>3</v>
      </c>
      <c r="D83" s="173"/>
      <c r="E83" s="173"/>
      <c r="F83" s="173"/>
      <c r="G83" s="173"/>
      <c r="H83" s="173"/>
      <c r="I83" s="173"/>
      <c r="J83" s="173"/>
      <c r="K83" s="173"/>
      <c r="L83" s="173"/>
      <c r="M83" s="173"/>
      <c r="N83" s="173"/>
      <c r="O83" s="173"/>
      <c r="P83" s="173"/>
      <c r="Q83" s="173"/>
      <c r="R83" s="173"/>
      <c r="S83" s="188"/>
      <c r="T83" s="188"/>
      <c r="U83" s="189"/>
    </row>
    <row r="84" spans="1:21" x14ac:dyDescent="0.35">
      <c r="A84" s="796"/>
      <c r="B84" s="218" t="str">
        <f>'2. Tulud-kulud projektiga'!B84</f>
        <v>Vesi ja kanalisatsioon</v>
      </c>
      <c r="C84" s="219" t="s">
        <v>3</v>
      </c>
      <c r="D84" s="173"/>
      <c r="E84" s="173"/>
      <c r="F84" s="173"/>
      <c r="G84" s="173"/>
      <c r="H84" s="173"/>
      <c r="I84" s="173"/>
      <c r="J84" s="173"/>
      <c r="K84" s="173"/>
      <c r="L84" s="173"/>
      <c r="M84" s="173"/>
      <c r="N84" s="173"/>
      <c r="O84" s="173"/>
      <c r="P84" s="173"/>
      <c r="Q84" s="173"/>
      <c r="R84" s="173"/>
      <c r="S84" s="188"/>
      <c r="T84" s="188"/>
      <c r="U84" s="189"/>
    </row>
    <row r="85" spans="1:21" x14ac:dyDescent="0.35">
      <c r="A85" s="796"/>
      <c r="B85" s="218" t="str">
        <f>'2. Tulud-kulud projektiga'!B85</f>
        <v>Tehnohooldus</v>
      </c>
      <c r="C85" s="219" t="s">
        <v>3</v>
      </c>
      <c r="D85" s="173"/>
      <c r="E85" s="173"/>
      <c r="F85" s="173"/>
      <c r="G85" s="173"/>
      <c r="H85" s="173"/>
      <c r="I85" s="173"/>
      <c r="J85" s="173"/>
      <c r="K85" s="173"/>
      <c r="L85" s="173"/>
      <c r="M85" s="173"/>
      <c r="N85" s="173"/>
      <c r="O85" s="173"/>
      <c r="P85" s="173"/>
      <c r="Q85" s="173"/>
      <c r="R85" s="173"/>
      <c r="S85" s="188"/>
      <c r="T85" s="188"/>
      <c r="U85" s="189"/>
    </row>
    <row r="86" spans="1:21" x14ac:dyDescent="0.35">
      <c r="A86" s="796"/>
      <c r="B86" s="218" t="str">
        <f>'2. Tulud-kulud projektiga'!B86</f>
        <v>Hooldus (hooned)</v>
      </c>
      <c r="C86" s="219" t="s">
        <v>3</v>
      </c>
      <c r="D86" s="173"/>
      <c r="E86" s="173"/>
      <c r="F86" s="173"/>
      <c r="G86" s="173"/>
      <c r="H86" s="173"/>
      <c r="I86" s="173"/>
      <c r="J86" s="173"/>
      <c r="K86" s="173"/>
      <c r="L86" s="173"/>
      <c r="M86" s="173"/>
      <c r="N86" s="173"/>
      <c r="O86" s="173"/>
      <c r="P86" s="173"/>
      <c r="Q86" s="173"/>
      <c r="R86" s="173"/>
      <c r="S86" s="188"/>
      <c r="T86" s="188"/>
      <c r="U86" s="189"/>
    </row>
    <row r="87" spans="1:21" x14ac:dyDescent="0.35">
      <c r="A87" s="796"/>
      <c r="B87" s="218" t="str">
        <f>'2. Tulud-kulud projektiga'!B87</f>
        <v>Hooldus (territoorium)</v>
      </c>
      <c r="C87" s="219" t="s">
        <v>3</v>
      </c>
      <c r="D87" s="173"/>
      <c r="E87" s="173"/>
      <c r="F87" s="173"/>
      <c r="G87" s="173"/>
      <c r="H87" s="173"/>
      <c r="I87" s="173"/>
      <c r="J87" s="173"/>
      <c r="K87" s="173"/>
      <c r="L87" s="173"/>
      <c r="M87" s="173"/>
      <c r="N87" s="173"/>
      <c r="O87" s="173"/>
      <c r="P87" s="173"/>
      <c r="Q87" s="173"/>
      <c r="R87" s="173"/>
      <c r="S87" s="188"/>
      <c r="T87" s="188"/>
      <c r="U87" s="189"/>
    </row>
    <row r="88" spans="1:21" x14ac:dyDescent="0.35">
      <c r="A88" s="796"/>
      <c r="B88" s="218" t="str">
        <f>'2. Tulud-kulud projektiga'!B88</f>
        <v>Halduskulu 7</v>
      </c>
      <c r="C88" s="219" t="s">
        <v>3</v>
      </c>
      <c r="D88" s="173"/>
      <c r="E88" s="173"/>
      <c r="F88" s="173"/>
      <c r="G88" s="173"/>
      <c r="H88" s="173"/>
      <c r="I88" s="173"/>
      <c r="J88" s="173"/>
      <c r="K88" s="173"/>
      <c r="L88" s="173"/>
      <c r="M88" s="173"/>
      <c r="N88" s="173"/>
      <c r="O88" s="173"/>
      <c r="P88" s="173"/>
      <c r="Q88" s="173"/>
      <c r="R88" s="173"/>
      <c r="S88" s="188"/>
      <c r="T88" s="188"/>
      <c r="U88" s="189"/>
    </row>
    <row r="89" spans="1:21" x14ac:dyDescent="0.35">
      <c r="A89" s="796"/>
      <c r="B89" s="218" t="str">
        <f>'2. Tulud-kulud projektiga'!B89</f>
        <v>Halduskulu 8</v>
      </c>
      <c r="C89" s="219" t="s">
        <v>3</v>
      </c>
      <c r="D89" s="173"/>
      <c r="E89" s="173"/>
      <c r="F89" s="173"/>
      <c r="G89" s="173"/>
      <c r="H89" s="173"/>
      <c r="I89" s="173"/>
      <c r="J89" s="173"/>
      <c r="K89" s="173"/>
      <c r="L89" s="173"/>
      <c r="M89" s="173"/>
      <c r="N89" s="173"/>
      <c r="O89" s="173"/>
      <c r="P89" s="173"/>
      <c r="Q89" s="173"/>
      <c r="R89" s="173"/>
      <c r="S89" s="188"/>
      <c r="T89" s="188"/>
      <c r="U89" s="189"/>
    </row>
    <row r="90" spans="1:21" x14ac:dyDescent="0.35">
      <c r="A90" s="796"/>
      <c r="B90" s="218" t="str">
        <f>'2. Tulud-kulud projektiga'!B90</f>
        <v>Halduskulu 9</v>
      </c>
      <c r="C90" s="219" t="s">
        <v>3</v>
      </c>
      <c r="D90" s="173"/>
      <c r="E90" s="173"/>
      <c r="F90" s="173"/>
      <c r="G90" s="173"/>
      <c r="H90" s="173"/>
      <c r="I90" s="173"/>
      <c r="J90" s="173"/>
      <c r="K90" s="173"/>
      <c r="L90" s="173"/>
      <c r="M90" s="173"/>
      <c r="N90" s="173"/>
      <c r="O90" s="173"/>
      <c r="P90" s="173"/>
      <c r="Q90" s="173"/>
      <c r="R90" s="173"/>
      <c r="S90" s="188"/>
      <c r="T90" s="188"/>
      <c r="U90" s="189"/>
    </row>
    <row r="91" spans="1:21" x14ac:dyDescent="0.35">
      <c r="A91" s="796"/>
      <c r="B91" s="218" t="str">
        <f>'2. Tulud-kulud projektiga'!B91</f>
        <v>Halduskulu 10</v>
      </c>
      <c r="C91" s="219" t="s">
        <v>3</v>
      </c>
      <c r="D91" s="173"/>
      <c r="E91" s="173"/>
      <c r="F91" s="173"/>
      <c r="G91" s="173"/>
      <c r="H91" s="173"/>
      <c r="I91" s="173"/>
      <c r="J91" s="173"/>
      <c r="K91" s="173"/>
      <c r="L91" s="173"/>
      <c r="M91" s="173"/>
      <c r="N91" s="173"/>
      <c r="O91" s="173"/>
      <c r="P91" s="173"/>
      <c r="Q91" s="173"/>
      <c r="R91" s="173"/>
      <c r="S91" s="188"/>
      <c r="T91" s="188"/>
      <c r="U91" s="189"/>
    </row>
    <row r="92" spans="1:21" x14ac:dyDescent="0.35">
      <c r="A92" s="788" t="str">
        <f>'2. Tulud-kulud projektiga'!A92:B92</f>
        <v>Halduskulud kokku</v>
      </c>
      <c r="B92" s="789"/>
      <c r="C92" s="228"/>
      <c r="D92" s="229">
        <f t="shared" ref="D92:R92" si="29">SUM(D82:D91)</f>
        <v>0</v>
      </c>
      <c r="E92" s="229">
        <f t="shared" si="29"/>
        <v>0</v>
      </c>
      <c r="F92" s="229">
        <f t="shared" si="29"/>
        <v>0</v>
      </c>
      <c r="G92" s="229">
        <f t="shared" si="29"/>
        <v>0</v>
      </c>
      <c r="H92" s="229">
        <f t="shared" si="29"/>
        <v>0</v>
      </c>
      <c r="I92" s="229">
        <f t="shared" si="29"/>
        <v>0</v>
      </c>
      <c r="J92" s="229">
        <f t="shared" si="29"/>
        <v>0</v>
      </c>
      <c r="K92" s="229">
        <f t="shared" si="29"/>
        <v>0</v>
      </c>
      <c r="L92" s="229">
        <f t="shared" si="29"/>
        <v>0</v>
      </c>
      <c r="M92" s="229">
        <f t="shared" si="29"/>
        <v>0</v>
      </c>
      <c r="N92" s="229">
        <f t="shared" si="29"/>
        <v>0</v>
      </c>
      <c r="O92" s="229">
        <f t="shared" si="29"/>
        <v>0</v>
      </c>
      <c r="P92" s="229">
        <f t="shared" si="29"/>
        <v>0</v>
      </c>
      <c r="Q92" s="229">
        <f t="shared" si="29"/>
        <v>0</v>
      </c>
      <c r="R92" s="229">
        <f t="shared" si="29"/>
        <v>0</v>
      </c>
      <c r="S92" s="188"/>
      <c r="T92" s="188"/>
      <c r="U92" s="189"/>
    </row>
    <row r="93" spans="1:21" ht="4.5" customHeight="1" x14ac:dyDescent="0.35">
      <c r="A93" s="157"/>
      <c r="B93" s="158"/>
      <c r="C93" s="160"/>
      <c r="D93" s="194"/>
      <c r="E93" s="194"/>
      <c r="F93" s="194"/>
      <c r="G93" s="194"/>
      <c r="H93" s="194"/>
      <c r="I93" s="194"/>
      <c r="J93" s="194"/>
      <c r="K93" s="194"/>
      <c r="L93" s="194"/>
      <c r="M93" s="194"/>
      <c r="N93" s="194"/>
      <c r="O93" s="194"/>
      <c r="P93" s="194"/>
      <c r="Q93" s="194"/>
      <c r="R93" s="195"/>
      <c r="S93" s="188"/>
      <c r="T93" s="188"/>
      <c r="U93" s="189"/>
    </row>
    <row r="94" spans="1:21" x14ac:dyDescent="0.35">
      <c r="A94" s="797" t="str">
        <f>'2. Tulud-kulud projektiga'!A94:A103</f>
        <v>Turunduskulud</v>
      </c>
      <c r="B94" s="218" t="str">
        <f>'2. Tulud-kulud projektiga'!B94</f>
        <v>Turundus</v>
      </c>
      <c r="C94" s="219" t="s">
        <v>3</v>
      </c>
      <c r="D94" s="173"/>
      <c r="E94" s="173"/>
      <c r="F94" s="173"/>
      <c r="G94" s="173"/>
      <c r="H94" s="173"/>
      <c r="I94" s="173"/>
      <c r="J94" s="173"/>
      <c r="K94" s="173"/>
      <c r="L94" s="173"/>
      <c r="M94" s="173"/>
      <c r="N94" s="173"/>
      <c r="O94" s="173"/>
      <c r="P94" s="173"/>
      <c r="Q94" s="173"/>
      <c r="R94" s="173"/>
      <c r="S94" s="188"/>
      <c r="T94" s="188"/>
      <c r="U94" s="189"/>
    </row>
    <row r="95" spans="1:21" x14ac:dyDescent="0.35">
      <c r="A95" s="798"/>
      <c r="B95" s="218">
        <f>'2. Tulud-kulud projektiga'!B95</f>
        <v>0</v>
      </c>
      <c r="C95" s="219" t="s">
        <v>3</v>
      </c>
      <c r="D95" s="173"/>
      <c r="E95" s="173"/>
      <c r="F95" s="173"/>
      <c r="G95" s="173"/>
      <c r="H95" s="173"/>
      <c r="I95" s="173"/>
      <c r="J95" s="173"/>
      <c r="K95" s="173"/>
      <c r="L95" s="173"/>
      <c r="M95" s="173"/>
      <c r="N95" s="173"/>
      <c r="O95" s="173"/>
      <c r="P95" s="173"/>
      <c r="Q95" s="173"/>
      <c r="R95" s="173"/>
      <c r="S95" s="188"/>
      <c r="T95" s="188"/>
      <c r="U95" s="189"/>
    </row>
    <row r="96" spans="1:21" x14ac:dyDescent="0.35">
      <c r="A96" s="798"/>
      <c r="B96" s="218">
        <f>'2. Tulud-kulud projektiga'!B96</f>
        <v>0</v>
      </c>
      <c r="C96" s="219" t="s">
        <v>3</v>
      </c>
      <c r="D96" s="173"/>
      <c r="E96" s="173"/>
      <c r="F96" s="173"/>
      <c r="G96" s="173"/>
      <c r="H96" s="173"/>
      <c r="I96" s="173"/>
      <c r="J96" s="173"/>
      <c r="K96" s="173"/>
      <c r="L96" s="173"/>
      <c r="M96" s="173"/>
      <c r="N96" s="173"/>
      <c r="O96" s="173"/>
      <c r="P96" s="173"/>
      <c r="Q96" s="173"/>
      <c r="R96" s="173"/>
      <c r="S96" s="188"/>
      <c r="T96" s="188"/>
      <c r="U96" s="189"/>
    </row>
    <row r="97" spans="1:21" x14ac:dyDescent="0.35">
      <c r="A97" s="798"/>
      <c r="B97" s="218">
        <f>'2. Tulud-kulud projektiga'!B97</f>
        <v>0</v>
      </c>
      <c r="C97" s="219" t="s">
        <v>3</v>
      </c>
      <c r="D97" s="173"/>
      <c r="E97" s="173"/>
      <c r="F97" s="173"/>
      <c r="G97" s="173"/>
      <c r="H97" s="173"/>
      <c r="I97" s="173"/>
      <c r="J97" s="173"/>
      <c r="K97" s="173"/>
      <c r="L97" s="173"/>
      <c r="M97" s="173"/>
      <c r="N97" s="173"/>
      <c r="O97" s="173"/>
      <c r="P97" s="173"/>
      <c r="Q97" s="173"/>
      <c r="R97" s="173"/>
      <c r="S97" s="188"/>
      <c r="T97" s="188"/>
      <c r="U97" s="189"/>
    </row>
    <row r="98" spans="1:21" x14ac:dyDescent="0.35">
      <c r="A98" s="798"/>
      <c r="B98" s="218">
        <f>'2. Tulud-kulud projektiga'!B98</f>
        <v>0</v>
      </c>
      <c r="C98" s="219" t="s">
        <v>3</v>
      </c>
      <c r="D98" s="173"/>
      <c r="E98" s="173"/>
      <c r="F98" s="173"/>
      <c r="G98" s="173"/>
      <c r="H98" s="173"/>
      <c r="I98" s="173"/>
      <c r="J98" s="173"/>
      <c r="K98" s="173"/>
      <c r="L98" s="173"/>
      <c r="M98" s="173"/>
      <c r="N98" s="173"/>
      <c r="O98" s="173"/>
      <c r="P98" s="173"/>
      <c r="Q98" s="173"/>
      <c r="R98" s="173"/>
      <c r="S98" s="188"/>
      <c r="T98" s="188"/>
      <c r="U98" s="189"/>
    </row>
    <row r="99" spans="1:21" hidden="1" outlineLevel="1" x14ac:dyDescent="0.35">
      <c r="A99" s="798"/>
      <c r="B99" s="218" t="str">
        <f>'2. Tulud-kulud projektiga'!B99</f>
        <v>Kulu 6</v>
      </c>
      <c r="C99" s="219" t="s">
        <v>3</v>
      </c>
      <c r="D99" s="173"/>
      <c r="E99" s="173"/>
      <c r="F99" s="173"/>
      <c r="G99" s="173"/>
      <c r="H99" s="173"/>
      <c r="I99" s="173"/>
      <c r="J99" s="173"/>
      <c r="K99" s="173"/>
      <c r="L99" s="173"/>
      <c r="M99" s="173"/>
      <c r="N99" s="173"/>
      <c r="O99" s="173"/>
      <c r="P99" s="173"/>
      <c r="Q99" s="173"/>
      <c r="R99" s="173"/>
      <c r="S99" s="188"/>
      <c r="T99" s="188"/>
      <c r="U99" s="189"/>
    </row>
    <row r="100" spans="1:21" hidden="1" outlineLevel="1" x14ac:dyDescent="0.35">
      <c r="A100" s="798"/>
      <c r="B100" s="218" t="str">
        <f>'2. Tulud-kulud projektiga'!B100</f>
        <v>Kulu 7</v>
      </c>
      <c r="C100" s="219" t="s">
        <v>3</v>
      </c>
      <c r="D100" s="173"/>
      <c r="E100" s="173"/>
      <c r="F100" s="173"/>
      <c r="G100" s="173"/>
      <c r="H100" s="173"/>
      <c r="I100" s="173"/>
      <c r="J100" s="173"/>
      <c r="K100" s="173"/>
      <c r="L100" s="173"/>
      <c r="M100" s="173"/>
      <c r="N100" s="173"/>
      <c r="O100" s="173"/>
      <c r="P100" s="173"/>
      <c r="Q100" s="173"/>
      <c r="R100" s="173"/>
      <c r="S100" s="188"/>
      <c r="T100" s="188"/>
      <c r="U100" s="189"/>
    </row>
    <row r="101" spans="1:21" hidden="1" outlineLevel="1" x14ac:dyDescent="0.35">
      <c r="A101" s="798"/>
      <c r="B101" s="218" t="str">
        <f>'2. Tulud-kulud projektiga'!B101</f>
        <v>Kulu 8</v>
      </c>
      <c r="C101" s="219" t="s">
        <v>3</v>
      </c>
      <c r="D101" s="173"/>
      <c r="E101" s="173"/>
      <c r="F101" s="173"/>
      <c r="G101" s="173"/>
      <c r="H101" s="173"/>
      <c r="I101" s="173"/>
      <c r="J101" s="173"/>
      <c r="K101" s="173"/>
      <c r="L101" s="173"/>
      <c r="M101" s="173"/>
      <c r="N101" s="173"/>
      <c r="O101" s="173"/>
      <c r="P101" s="173"/>
      <c r="Q101" s="173"/>
      <c r="R101" s="173"/>
      <c r="S101" s="188"/>
      <c r="T101" s="188"/>
      <c r="U101" s="189"/>
    </row>
    <row r="102" spans="1:21" hidden="1" outlineLevel="1" x14ac:dyDescent="0.35">
      <c r="A102" s="798"/>
      <c r="B102" s="218" t="str">
        <f>'2. Tulud-kulud projektiga'!B102</f>
        <v>Kulu 9</v>
      </c>
      <c r="C102" s="219" t="s">
        <v>3</v>
      </c>
      <c r="D102" s="173"/>
      <c r="E102" s="173"/>
      <c r="F102" s="173"/>
      <c r="G102" s="173"/>
      <c r="H102" s="173"/>
      <c r="I102" s="173"/>
      <c r="J102" s="173"/>
      <c r="K102" s="173"/>
      <c r="L102" s="173"/>
      <c r="M102" s="173"/>
      <c r="N102" s="173"/>
      <c r="O102" s="173"/>
      <c r="P102" s="173"/>
      <c r="Q102" s="173"/>
      <c r="R102" s="173"/>
      <c r="S102" s="188"/>
      <c r="T102" s="188"/>
      <c r="U102" s="189"/>
    </row>
    <row r="103" spans="1:21" hidden="1" outlineLevel="1" x14ac:dyDescent="0.35">
      <c r="A103" s="799"/>
      <c r="B103" s="218" t="str">
        <f>'2. Tulud-kulud projektiga'!B103</f>
        <v>Kulu 10</v>
      </c>
      <c r="C103" s="219" t="s">
        <v>3</v>
      </c>
      <c r="D103" s="173"/>
      <c r="E103" s="173"/>
      <c r="F103" s="173"/>
      <c r="G103" s="173"/>
      <c r="H103" s="173"/>
      <c r="I103" s="173"/>
      <c r="J103" s="173"/>
      <c r="K103" s="173"/>
      <c r="L103" s="173"/>
      <c r="M103" s="173"/>
      <c r="N103" s="173"/>
      <c r="O103" s="173"/>
      <c r="P103" s="173"/>
      <c r="Q103" s="173"/>
      <c r="R103" s="173"/>
      <c r="S103" s="188"/>
      <c r="T103" s="188"/>
      <c r="U103" s="189"/>
    </row>
    <row r="104" spans="1:21" s="198" customFormat="1" collapsed="1" x14ac:dyDescent="0.35">
      <c r="A104" s="788" t="str">
        <f>'2. Tulud-kulud projektiga'!A104:B104</f>
        <v>Turunduskulud kokku</v>
      </c>
      <c r="B104" s="789"/>
      <c r="C104" s="228"/>
      <c r="D104" s="229">
        <f t="shared" ref="D104:R104" si="30">SUM(D94:D103)</f>
        <v>0</v>
      </c>
      <c r="E104" s="229">
        <f t="shared" si="30"/>
        <v>0</v>
      </c>
      <c r="F104" s="229">
        <f t="shared" si="30"/>
        <v>0</v>
      </c>
      <c r="G104" s="229">
        <f t="shared" si="30"/>
        <v>0</v>
      </c>
      <c r="H104" s="229">
        <f t="shared" si="30"/>
        <v>0</v>
      </c>
      <c r="I104" s="229">
        <f t="shared" si="30"/>
        <v>0</v>
      </c>
      <c r="J104" s="229">
        <f t="shared" si="30"/>
        <v>0</v>
      </c>
      <c r="K104" s="229">
        <f t="shared" si="30"/>
        <v>0</v>
      </c>
      <c r="L104" s="229">
        <f t="shared" si="30"/>
        <v>0</v>
      </c>
      <c r="M104" s="229">
        <f t="shared" si="30"/>
        <v>0</v>
      </c>
      <c r="N104" s="229">
        <f t="shared" si="30"/>
        <v>0</v>
      </c>
      <c r="O104" s="229">
        <f t="shared" si="30"/>
        <v>0</v>
      </c>
      <c r="P104" s="229">
        <f t="shared" si="30"/>
        <v>0</v>
      </c>
      <c r="Q104" s="229">
        <f t="shared" si="30"/>
        <v>0</v>
      </c>
      <c r="R104" s="229">
        <f t="shared" si="30"/>
        <v>0</v>
      </c>
      <c r="S104" s="196"/>
      <c r="T104" s="196"/>
      <c r="U104" s="197"/>
    </row>
    <row r="105" spans="1:21" ht="4.5" customHeight="1" x14ac:dyDescent="0.35">
      <c r="A105" s="157"/>
      <c r="B105" s="158"/>
      <c r="C105" s="160"/>
      <c r="D105" s="194"/>
      <c r="E105" s="194"/>
      <c r="F105" s="194"/>
      <c r="G105" s="194"/>
      <c r="H105" s="194"/>
      <c r="I105" s="194"/>
      <c r="J105" s="194"/>
      <c r="K105" s="194"/>
      <c r="L105" s="194"/>
      <c r="M105" s="194"/>
      <c r="N105" s="194"/>
      <c r="O105" s="194"/>
      <c r="P105" s="194"/>
      <c r="Q105" s="194"/>
      <c r="R105" s="195"/>
      <c r="S105" s="188"/>
      <c r="T105" s="188"/>
      <c r="U105" s="189"/>
    </row>
    <row r="106" spans="1:21" ht="16.5" customHeight="1" x14ac:dyDescent="0.35">
      <c r="A106" s="787" t="str">
        <f>'2. Tulud-kulud projektiga'!A106:B106</f>
        <v>Remonditööd</v>
      </c>
      <c r="B106" s="787"/>
      <c r="C106" s="219" t="s">
        <v>3</v>
      </c>
      <c r="D106" s="173"/>
      <c r="E106" s="173"/>
      <c r="F106" s="173"/>
      <c r="G106" s="173"/>
      <c r="H106" s="173"/>
      <c r="I106" s="173"/>
      <c r="J106" s="173"/>
      <c r="K106" s="173"/>
      <c r="L106" s="173"/>
      <c r="M106" s="173"/>
      <c r="N106" s="173"/>
      <c r="O106" s="173"/>
      <c r="P106" s="173"/>
      <c r="Q106" s="173"/>
      <c r="R106" s="173"/>
      <c r="S106" s="188"/>
      <c r="T106" s="188"/>
      <c r="U106" s="189"/>
    </row>
    <row r="107" spans="1:21" ht="16.5" customHeight="1" x14ac:dyDescent="0.35">
      <c r="A107" s="787" t="str">
        <f>'2. Tulud-kulud projektiga'!A107:B107</f>
        <v>Valve</v>
      </c>
      <c r="B107" s="787"/>
      <c r="C107" s="219" t="s">
        <v>3</v>
      </c>
      <c r="D107" s="173"/>
      <c r="E107" s="173"/>
      <c r="F107" s="173"/>
      <c r="G107" s="173"/>
      <c r="H107" s="173"/>
      <c r="I107" s="173"/>
      <c r="J107" s="173"/>
      <c r="K107" s="173"/>
      <c r="L107" s="173"/>
      <c r="M107" s="173"/>
      <c r="N107" s="173"/>
      <c r="O107" s="173"/>
      <c r="P107" s="173"/>
      <c r="Q107" s="173"/>
      <c r="R107" s="173"/>
      <c r="S107" s="188"/>
      <c r="T107" s="188"/>
      <c r="U107" s="189"/>
    </row>
    <row r="108" spans="1:21" ht="16.5" customHeight="1" x14ac:dyDescent="0.35">
      <c r="A108" s="787" t="str">
        <f>'2. Tulud-kulud projektiga'!A108:B108</f>
        <v>Kindlustus</v>
      </c>
      <c r="B108" s="787"/>
      <c r="C108" s="219" t="s">
        <v>3</v>
      </c>
      <c r="D108" s="173"/>
      <c r="E108" s="173"/>
      <c r="F108" s="173"/>
      <c r="G108" s="173"/>
      <c r="H108" s="173"/>
      <c r="I108" s="173"/>
      <c r="J108" s="173"/>
      <c r="K108" s="173"/>
      <c r="L108" s="173"/>
      <c r="M108" s="173"/>
      <c r="N108" s="173"/>
      <c r="O108" s="173"/>
      <c r="P108" s="173"/>
      <c r="Q108" s="173"/>
      <c r="R108" s="173"/>
      <c r="S108" s="188"/>
      <c r="T108" s="188"/>
      <c r="U108" s="189"/>
    </row>
    <row r="109" spans="1:21" ht="16.5" customHeight="1" x14ac:dyDescent="0.35">
      <c r="A109" s="787" t="str">
        <f>'2. Tulud-kulud projektiga'!A109:B109</f>
        <v>Muu</v>
      </c>
      <c r="B109" s="787"/>
      <c r="C109" s="219" t="s">
        <v>3</v>
      </c>
      <c r="D109" s="173"/>
      <c r="E109" s="173"/>
      <c r="F109" s="173"/>
      <c r="G109" s="173"/>
      <c r="H109" s="173"/>
      <c r="I109" s="173"/>
      <c r="J109" s="173"/>
      <c r="K109" s="173"/>
      <c r="L109" s="173"/>
      <c r="M109" s="173"/>
      <c r="N109" s="173"/>
      <c r="O109" s="173"/>
      <c r="P109" s="173"/>
      <c r="Q109" s="173"/>
      <c r="R109" s="173"/>
      <c r="S109" s="188"/>
      <c r="T109" s="188"/>
      <c r="U109" s="189"/>
    </row>
    <row r="110" spans="1:21" ht="16.5" customHeight="1" x14ac:dyDescent="0.35">
      <c r="A110" s="787" t="str">
        <f>'2. Tulud-kulud projektiga'!A110:B110</f>
        <v>Muu kulu 5</v>
      </c>
      <c r="B110" s="787"/>
      <c r="C110" s="219" t="s">
        <v>3</v>
      </c>
      <c r="D110" s="173"/>
      <c r="E110" s="173"/>
      <c r="F110" s="173"/>
      <c r="G110" s="173"/>
      <c r="H110" s="173"/>
      <c r="I110" s="173"/>
      <c r="J110" s="173"/>
      <c r="K110" s="173"/>
      <c r="L110" s="173"/>
      <c r="M110" s="173"/>
      <c r="N110" s="173"/>
      <c r="O110" s="173"/>
      <c r="P110" s="173"/>
      <c r="Q110" s="173"/>
      <c r="R110" s="173"/>
      <c r="S110" s="188"/>
      <c r="T110" s="188"/>
      <c r="U110" s="189"/>
    </row>
    <row r="111" spans="1:21" ht="16.5" hidden="1" customHeight="1" outlineLevel="1" x14ac:dyDescent="0.35">
      <c r="A111" s="787" t="str">
        <f>'2. Tulud-kulud projektiga'!A111:B111</f>
        <v>Asendusinvesteeringud:</v>
      </c>
      <c r="B111" s="787"/>
      <c r="C111" s="219" t="s">
        <v>3</v>
      </c>
      <c r="D111" s="173"/>
      <c r="E111" s="173"/>
      <c r="F111" s="173"/>
      <c r="G111" s="173"/>
      <c r="H111" s="173"/>
      <c r="I111" s="173"/>
      <c r="J111" s="173"/>
      <c r="K111" s="173"/>
      <c r="L111" s="173"/>
      <c r="M111" s="173"/>
      <c r="N111" s="173"/>
      <c r="O111" s="173"/>
      <c r="P111" s="173"/>
      <c r="Q111" s="173"/>
      <c r="R111" s="173"/>
      <c r="S111" s="188"/>
      <c r="T111" s="188"/>
      <c r="U111" s="189"/>
    </row>
    <row r="112" spans="1:21" ht="16.5" hidden="1" customHeight="1" outlineLevel="1" x14ac:dyDescent="0.35">
      <c r="A112" s="787" t="str">
        <f>'2. Tulud-kulud projektiga'!A112:B112</f>
        <v>Sisustus</v>
      </c>
      <c r="B112" s="787"/>
      <c r="C112" s="219" t="s">
        <v>3</v>
      </c>
      <c r="D112" s="173"/>
      <c r="E112" s="173"/>
      <c r="F112" s="173"/>
      <c r="G112" s="173"/>
      <c r="H112" s="173"/>
      <c r="I112" s="173"/>
      <c r="J112" s="173"/>
      <c r="K112" s="173"/>
      <c r="L112" s="173"/>
      <c r="M112" s="173"/>
      <c r="N112" s="173"/>
      <c r="O112" s="173"/>
      <c r="P112" s="173"/>
      <c r="Q112" s="173"/>
      <c r="R112" s="173"/>
      <c r="S112" s="188"/>
      <c r="T112" s="188"/>
      <c r="U112" s="189"/>
    </row>
    <row r="113" spans="1:21" ht="16.5" hidden="1" customHeight="1" outlineLevel="1" x14ac:dyDescent="0.35">
      <c r="A113" s="787" t="str">
        <f>'2. Tulud-kulud projektiga'!A113:B113</f>
        <v>Muu kulu 8</v>
      </c>
      <c r="B113" s="787"/>
      <c r="C113" s="219" t="s">
        <v>3</v>
      </c>
      <c r="D113" s="173"/>
      <c r="E113" s="173"/>
      <c r="F113" s="173"/>
      <c r="G113" s="173"/>
      <c r="H113" s="173"/>
      <c r="I113" s="173"/>
      <c r="J113" s="173"/>
      <c r="K113" s="173"/>
      <c r="L113" s="173"/>
      <c r="M113" s="173"/>
      <c r="N113" s="173"/>
      <c r="O113" s="173"/>
      <c r="P113" s="173"/>
      <c r="Q113" s="173"/>
      <c r="R113" s="173"/>
      <c r="S113" s="188"/>
      <c r="T113" s="188"/>
      <c r="U113" s="189"/>
    </row>
    <row r="114" spans="1:21" ht="16.5" hidden="1" customHeight="1" outlineLevel="1" x14ac:dyDescent="0.35">
      <c r="A114" s="787" t="str">
        <f>'2. Tulud-kulud projektiga'!A114:B114</f>
        <v>Muu kulu 9</v>
      </c>
      <c r="B114" s="787"/>
      <c r="C114" s="219" t="s">
        <v>3</v>
      </c>
      <c r="D114" s="173"/>
      <c r="E114" s="173"/>
      <c r="F114" s="173"/>
      <c r="G114" s="173"/>
      <c r="H114" s="173"/>
      <c r="I114" s="173"/>
      <c r="J114" s="173"/>
      <c r="K114" s="173"/>
      <c r="L114" s="173"/>
      <c r="M114" s="173"/>
      <c r="N114" s="173"/>
      <c r="O114" s="173"/>
      <c r="P114" s="173"/>
      <c r="Q114" s="173"/>
      <c r="R114" s="173"/>
      <c r="S114" s="188"/>
      <c r="T114" s="188"/>
      <c r="U114" s="189"/>
    </row>
    <row r="115" spans="1:21" ht="16.5" hidden="1" customHeight="1" outlineLevel="1" x14ac:dyDescent="0.35">
      <c r="A115" s="787" t="str">
        <f>'2. Tulud-kulud projektiga'!A115:B115</f>
        <v>Muu kulu 10</v>
      </c>
      <c r="B115" s="787"/>
      <c r="C115" s="219" t="s">
        <v>3</v>
      </c>
      <c r="D115" s="173"/>
      <c r="E115" s="173"/>
      <c r="F115" s="173"/>
      <c r="G115" s="173"/>
      <c r="H115" s="173"/>
      <c r="I115" s="173"/>
      <c r="J115" s="173"/>
      <c r="K115" s="173"/>
      <c r="L115" s="173"/>
      <c r="M115" s="173"/>
      <c r="N115" s="173"/>
      <c r="O115" s="173"/>
      <c r="P115" s="173"/>
      <c r="Q115" s="173"/>
      <c r="R115" s="173"/>
      <c r="S115" s="188"/>
      <c r="T115" s="188"/>
      <c r="U115" s="189"/>
    </row>
    <row r="116" spans="1:21" s="198" customFormat="1" collapsed="1" x14ac:dyDescent="0.35">
      <c r="A116" s="788" t="str">
        <f>'2. Tulud-kulud projektiga'!A116:B116</f>
        <v>Muud kulud kokku</v>
      </c>
      <c r="B116" s="789"/>
      <c r="C116" s="224" t="s">
        <v>3</v>
      </c>
      <c r="D116" s="229">
        <f t="shared" ref="D116:R116" si="31">SUM(D106:D115)</f>
        <v>0</v>
      </c>
      <c r="E116" s="229">
        <f t="shared" si="31"/>
        <v>0</v>
      </c>
      <c r="F116" s="229">
        <f t="shared" si="31"/>
        <v>0</v>
      </c>
      <c r="G116" s="229">
        <f t="shared" si="31"/>
        <v>0</v>
      </c>
      <c r="H116" s="229">
        <f t="shared" si="31"/>
        <v>0</v>
      </c>
      <c r="I116" s="229">
        <f t="shared" si="31"/>
        <v>0</v>
      </c>
      <c r="J116" s="229">
        <f t="shared" si="31"/>
        <v>0</v>
      </c>
      <c r="K116" s="229">
        <f t="shared" si="31"/>
        <v>0</v>
      </c>
      <c r="L116" s="229">
        <f t="shared" si="31"/>
        <v>0</v>
      </c>
      <c r="M116" s="229">
        <f t="shared" si="31"/>
        <v>0</v>
      </c>
      <c r="N116" s="229">
        <f t="shared" si="31"/>
        <v>0</v>
      </c>
      <c r="O116" s="229">
        <f t="shared" si="31"/>
        <v>0</v>
      </c>
      <c r="P116" s="229">
        <f t="shared" si="31"/>
        <v>0</v>
      </c>
      <c r="Q116" s="229">
        <f t="shared" ref="Q116" si="32">SUM(Q106:Q115)</f>
        <v>0</v>
      </c>
      <c r="R116" s="229">
        <f t="shared" si="31"/>
        <v>0</v>
      </c>
      <c r="S116" s="196"/>
      <c r="T116" s="196"/>
      <c r="U116" s="197"/>
    </row>
    <row r="117" spans="1:21" ht="4.5" customHeight="1" x14ac:dyDescent="0.35">
      <c r="A117" s="157"/>
      <c r="B117" s="158"/>
      <c r="C117" s="160"/>
      <c r="D117" s="194"/>
      <c r="E117" s="194"/>
      <c r="F117" s="194"/>
      <c r="G117" s="194"/>
      <c r="H117" s="194"/>
      <c r="I117" s="194"/>
      <c r="J117" s="194"/>
      <c r="K117" s="194"/>
      <c r="L117" s="194"/>
      <c r="M117" s="194"/>
      <c r="N117" s="194"/>
      <c r="O117" s="194"/>
      <c r="P117" s="194"/>
      <c r="Q117" s="194"/>
      <c r="R117" s="195"/>
      <c r="S117" s="188"/>
      <c r="T117" s="188"/>
      <c r="U117" s="189"/>
    </row>
    <row r="118" spans="1:21" s="185" customFormat="1" ht="19.5" customHeight="1" x14ac:dyDescent="0.35">
      <c r="A118" s="790" t="s">
        <v>30</v>
      </c>
      <c r="B118" s="791"/>
      <c r="C118" s="230" t="s">
        <v>3</v>
      </c>
      <c r="D118" s="225">
        <f t="shared" ref="D118:R118" si="33">D80+D92+D104+D116</f>
        <v>0</v>
      </c>
      <c r="E118" s="225">
        <f t="shared" si="33"/>
        <v>0</v>
      </c>
      <c r="F118" s="225">
        <f t="shared" si="33"/>
        <v>0</v>
      </c>
      <c r="G118" s="225">
        <f t="shared" si="33"/>
        <v>0</v>
      </c>
      <c r="H118" s="225">
        <f t="shared" si="33"/>
        <v>0</v>
      </c>
      <c r="I118" s="225">
        <f t="shared" si="33"/>
        <v>0</v>
      </c>
      <c r="J118" s="225">
        <f t="shared" si="33"/>
        <v>0</v>
      </c>
      <c r="K118" s="225">
        <f t="shared" si="33"/>
        <v>0</v>
      </c>
      <c r="L118" s="225">
        <f t="shared" si="33"/>
        <v>0</v>
      </c>
      <c r="M118" s="225">
        <f t="shared" si="33"/>
        <v>0</v>
      </c>
      <c r="N118" s="225">
        <f t="shared" si="33"/>
        <v>0</v>
      </c>
      <c r="O118" s="225">
        <f t="shared" si="33"/>
        <v>0</v>
      </c>
      <c r="P118" s="225">
        <f t="shared" si="33"/>
        <v>0</v>
      </c>
      <c r="Q118" s="225">
        <f t="shared" ref="Q118" si="34">Q80+Q92+Q104+Q116</f>
        <v>0</v>
      </c>
      <c r="R118" s="225">
        <f t="shared" si="33"/>
        <v>0</v>
      </c>
      <c r="S118" s="200"/>
      <c r="T118" s="200"/>
      <c r="U118" s="201"/>
    </row>
    <row r="119" spans="1:21" ht="4.5" customHeight="1" x14ac:dyDescent="0.35">
      <c r="A119" s="157"/>
      <c r="B119" s="158"/>
      <c r="C119" s="160"/>
      <c r="D119" s="194"/>
      <c r="E119" s="194"/>
      <c r="F119" s="194"/>
      <c r="G119" s="194"/>
      <c r="H119" s="194"/>
      <c r="I119" s="194"/>
      <c r="J119" s="194"/>
      <c r="K119" s="194"/>
      <c r="L119" s="194"/>
      <c r="M119" s="194"/>
      <c r="N119" s="194"/>
      <c r="O119" s="194"/>
      <c r="P119" s="194"/>
      <c r="Q119" s="194"/>
      <c r="R119" s="195"/>
      <c r="S119" s="188"/>
      <c r="T119" s="188"/>
      <c r="U119" s="189"/>
    </row>
    <row r="120" spans="1:21" ht="23.25" customHeight="1" x14ac:dyDescent="0.35">
      <c r="A120" s="202"/>
      <c r="B120" s="165"/>
      <c r="C120" s="167"/>
      <c r="D120" s="203"/>
      <c r="E120" s="203"/>
      <c r="F120" s="203"/>
      <c r="G120" s="203"/>
      <c r="H120" s="203"/>
      <c r="I120" s="203"/>
      <c r="J120" s="203"/>
      <c r="K120" s="203"/>
      <c r="L120" s="203"/>
      <c r="M120" s="203"/>
      <c r="N120" s="203"/>
      <c r="O120" s="203"/>
      <c r="P120" s="203"/>
      <c r="Q120" s="203"/>
      <c r="R120" s="204"/>
      <c r="S120" s="188"/>
      <c r="T120" s="188"/>
      <c r="U120" s="189"/>
    </row>
    <row r="121" spans="1:21" s="185" customFormat="1" ht="21" customHeight="1" x14ac:dyDescent="0.35">
      <c r="A121" s="777" t="s">
        <v>31</v>
      </c>
      <c r="B121" s="778"/>
      <c r="C121" s="205" t="s">
        <v>3</v>
      </c>
      <c r="D121" s="206">
        <f t="shared" ref="D121:R121" si="35">D53-D118</f>
        <v>0</v>
      </c>
      <c r="E121" s="206">
        <f t="shared" si="35"/>
        <v>0</v>
      </c>
      <c r="F121" s="206">
        <f t="shared" si="35"/>
        <v>0</v>
      </c>
      <c r="G121" s="206">
        <f t="shared" si="35"/>
        <v>0</v>
      </c>
      <c r="H121" s="206">
        <f t="shared" si="35"/>
        <v>0</v>
      </c>
      <c r="I121" s="206">
        <f t="shared" si="35"/>
        <v>0</v>
      </c>
      <c r="J121" s="206">
        <f t="shared" si="35"/>
        <v>0</v>
      </c>
      <c r="K121" s="206">
        <f t="shared" si="35"/>
        <v>0</v>
      </c>
      <c r="L121" s="206">
        <f t="shared" si="35"/>
        <v>0</v>
      </c>
      <c r="M121" s="206">
        <f t="shared" si="35"/>
        <v>0</v>
      </c>
      <c r="N121" s="206">
        <f t="shared" si="35"/>
        <v>0</v>
      </c>
      <c r="O121" s="206">
        <f t="shared" si="35"/>
        <v>0</v>
      </c>
      <c r="P121" s="206">
        <f t="shared" si="35"/>
        <v>0</v>
      </c>
      <c r="Q121" s="206">
        <f t="shared" ref="Q121" si="36">Q53-Q118</f>
        <v>0</v>
      </c>
      <c r="R121" s="206">
        <f t="shared" si="35"/>
        <v>0</v>
      </c>
      <c r="S121" s="200"/>
      <c r="T121" s="200"/>
      <c r="U121" s="201"/>
    </row>
    <row r="122" spans="1:21" ht="4.5" customHeight="1" x14ac:dyDescent="0.35">
      <c r="A122" s="157"/>
      <c r="B122" s="158"/>
      <c r="C122" s="160"/>
      <c r="D122" s="194"/>
      <c r="E122" s="194"/>
      <c r="F122" s="194"/>
      <c r="G122" s="194"/>
      <c r="H122" s="194"/>
      <c r="I122" s="194"/>
      <c r="J122" s="194"/>
      <c r="K122" s="194"/>
      <c r="L122" s="194"/>
      <c r="M122" s="194"/>
      <c r="N122" s="194"/>
      <c r="O122" s="194"/>
      <c r="P122" s="194"/>
      <c r="Q122" s="194"/>
      <c r="R122" s="195"/>
      <c r="S122" s="188"/>
      <c r="T122" s="188"/>
      <c r="U122" s="189"/>
    </row>
    <row r="123" spans="1:21" x14ac:dyDescent="0.35">
      <c r="B123" s="186"/>
      <c r="C123" s="163"/>
      <c r="D123" s="188"/>
      <c r="E123" s="188"/>
      <c r="F123" s="188"/>
      <c r="G123" s="188"/>
      <c r="H123" s="188"/>
      <c r="I123" s="188"/>
      <c r="J123" s="188"/>
      <c r="K123" s="188"/>
      <c r="L123" s="188"/>
      <c r="M123" s="188"/>
      <c r="N123" s="188"/>
      <c r="O123" s="188"/>
      <c r="P123" s="188"/>
      <c r="Q123" s="188"/>
      <c r="R123" s="188"/>
      <c r="S123" s="188"/>
      <c r="T123" s="188"/>
      <c r="U123" s="189"/>
    </row>
    <row r="124" spans="1:21" ht="15.5" x14ac:dyDescent="0.35">
      <c r="A124" s="777" t="s">
        <v>172</v>
      </c>
      <c r="B124" s="778"/>
      <c r="C124" s="205" t="s">
        <v>3</v>
      </c>
      <c r="D124" s="206">
        <f>D121</f>
        <v>0</v>
      </c>
      <c r="E124" s="206">
        <f>D124+E121</f>
        <v>0</v>
      </c>
      <c r="F124" s="206">
        <f t="shared" ref="F124:P124" si="37">E124+F121</f>
        <v>0</v>
      </c>
      <c r="G124" s="206">
        <f t="shared" si="37"/>
        <v>0</v>
      </c>
      <c r="H124" s="206">
        <f t="shared" si="37"/>
        <v>0</v>
      </c>
      <c r="I124" s="206">
        <f t="shared" si="37"/>
        <v>0</v>
      </c>
      <c r="J124" s="206">
        <f t="shared" si="37"/>
        <v>0</v>
      </c>
      <c r="K124" s="206">
        <f t="shared" si="37"/>
        <v>0</v>
      </c>
      <c r="L124" s="206">
        <f t="shared" si="37"/>
        <v>0</v>
      </c>
      <c r="M124" s="206">
        <f t="shared" si="37"/>
        <v>0</v>
      </c>
      <c r="N124" s="206">
        <f t="shared" si="37"/>
        <v>0</v>
      </c>
      <c r="O124" s="206">
        <f t="shared" si="37"/>
        <v>0</v>
      </c>
      <c r="P124" s="206">
        <f t="shared" si="37"/>
        <v>0</v>
      </c>
      <c r="Q124" s="206">
        <f t="shared" ref="Q124" si="38">P124+Q121</f>
        <v>0</v>
      </c>
      <c r="R124" s="206">
        <f t="shared" ref="R124" si="39">Q124+R121</f>
        <v>0</v>
      </c>
      <c r="S124" s="188"/>
      <c r="T124" s="188"/>
      <c r="U124" s="189"/>
    </row>
    <row r="125" spans="1:21" ht="4.5" customHeight="1" x14ac:dyDescent="0.35">
      <c r="A125" s="157"/>
      <c r="B125" s="158"/>
      <c r="C125" s="160"/>
      <c r="D125" s="194"/>
      <c r="E125" s="194"/>
      <c r="F125" s="194"/>
      <c r="G125" s="194"/>
      <c r="H125" s="194"/>
      <c r="I125" s="194"/>
      <c r="J125" s="194"/>
      <c r="K125" s="194"/>
      <c r="L125" s="194"/>
      <c r="M125" s="194"/>
      <c r="N125" s="194"/>
      <c r="O125" s="194"/>
      <c r="P125" s="194"/>
      <c r="Q125" s="194"/>
      <c r="R125" s="195"/>
      <c r="S125" s="188"/>
      <c r="T125" s="188"/>
      <c r="U125" s="189"/>
    </row>
    <row r="126" spans="1:21" x14ac:dyDescent="0.35">
      <c r="B126" s="186"/>
      <c r="C126" s="163"/>
      <c r="D126" s="188"/>
      <c r="E126" s="188"/>
      <c r="F126" s="188"/>
      <c r="G126" s="188"/>
      <c r="H126" s="188"/>
      <c r="I126" s="188"/>
      <c r="J126" s="188"/>
      <c r="K126" s="188"/>
      <c r="L126" s="188"/>
      <c r="M126" s="188"/>
      <c r="N126" s="188"/>
      <c r="O126" s="188"/>
      <c r="P126" s="188"/>
      <c r="Q126" s="188"/>
      <c r="R126" s="188"/>
      <c r="S126" s="188"/>
      <c r="T126" s="188"/>
      <c r="U126" s="189"/>
    </row>
    <row r="127" spans="1:21" x14ac:dyDescent="0.35">
      <c r="B127" s="186"/>
      <c r="C127" s="163"/>
      <c r="D127" s="188"/>
      <c r="E127" s="188"/>
      <c r="F127" s="188"/>
      <c r="G127" s="188"/>
      <c r="H127" s="188"/>
      <c r="I127" s="188"/>
      <c r="J127" s="188"/>
      <c r="K127" s="188"/>
      <c r="L127" s="188"/>
      <c r="M127" s="188"/>
      <c r="N127" s="188"/>
      <c r="O127" s="188"/>
      <c r="P127" s="188"/>
      <c r="Q127" s="188"/>
      <c r="R127" s="188"/>
      <c r="S127" s="188"/>
      <c r="T127" s="188"/>
      <c r="U127" s="189"/>
    </row>
    <row r="128" spans="1:21" x14ac:dyDescent="0.35">
      <c r="B128" s="186"/>
      <c r="C128" s="163"/>
      <c r="D128" s="188"/>
      <c r="E128" s="188"/>
      <c r="F128" s="188"/>
      <c r="G128" s="188"/>
      <c r="H128" s="188"/>
      <c r="I128" s="188"/>
      <c r="J128" s="188"/>
      <c r="K128" s="188"/>
      <c r="L128" s="188"/>
      <c r="M128" s="188"/>
      <c r="N128" s="188"/>
      <c r="O128" s="188"/>
      <c r="P128" s="188"/>
      <c r="Q128" s="188"/>
      <c r="R128" s="188"/>
      <c r="S128" s="188"/>
      <c r="T128" s="188"/>
      <c r="U128" s="189"/>
    </row>
    <row r="129" spans="2:21" x14ac:dyDescent="0.35">
      <c r="B129" s="186"/>
      <c r="C129" s="163"/>
      <c r="D129" s="188"/>
      <c r="E129" s="188"/>
      <c r="F129" s="188"/>
      <c r="G129" s="188"/>
      <c r="H129" s="188"/>
      <c r="I129" s="188"/>
      <c r="J129" s="188"/>
      <c r="K129" s="188"/>
      <c r="L129" s="188"/>
      <c r="M129" s="188"/>
      <c r="N129" s="188"/>
      <c r="O129" s="188"/>
      <c r="P129" s="188"/>
      <c r="Q129" s="188"/>
      <c r="R129" s="188"/>
      <c r="S129" s="188"/>
      <c r="T129" s="188"/>
      <c r="U129" s="189"/>
    </row>
    <row r="130" spans="2:21" x14ac:dyDescent="0.35">
      <c r="B130" s="186"/>
      <c r="C130" s="163"/>
      <c r="D130" s="188"/>
      <c r="E130" s="188"/>
      <c r="F130" s="188"/>
      <c r="G130" s="188"/>
      <c r="H130" s="188"/>
      <c r="I130" s="188"/>
      <c r="J130" s="188"/>
      <c r="K130" s="188"/>
      <c r="L130" s="188"/>
      <c r="M130" s="188"/>
      <c r="N130" s="188"/>
      <c r="O130" s="188"/>
      <c r="P130" s="188"/>
      <c r="Q130" s="188"/>
      <c r="R130" s="188"/>
      <c r="S130" s="188"/>
      <c r="T130" s="188"/>
      <c r="U130" s="189"/>
    </row>
    <row r="131" spans="2:21" x14ac:dyDescent="0.35">
      <c r="B131" s="186"/>
      <c r="C131" s="163"/>
      <c r="D131" s="188"/>
      <c r="E131" s="188"/>
      <c r="F131" s="188"/>
      <c r="G131" s="188"/>
      <c r="H131" s="188"/>
      <c r="I131" s="188"/>
      <c r="J131" s="188"/>
      <c r="K131" s="188"/>
      <c r="L131" s="188"/>
      <c r="M131" s="188"/>
      <c r="N131" s="188"/>
      <c r="O131" s="188"/>
      <c r="P131" s="188"/>
      <c r="Q131" s="188"/>
      <c r="R131" s="188"/>
      <c r="S131" s="188"/>
      <c r="T131" s="188"/>
      <c r="U131" s="189"/>
    </row>
    <row r="132" spans="2:21" x14ac:dyDescent="0.35">
      <c r="B132" s="186"/>
      <c r="C132" s="163"/>
      <c r="D132" s="188"/>
      <c r="E132" s="188"/>
      <c r="F132" s="188"/>
      <c r="G132" s="188"/>
      <c r="H132" s="188"/>
      <c r="I132" s="188"/>
      <c r="J132" s="188"/>
      <c r="K132" s="188"/>
      <c r="L132" s="188"/>
      <c r="M132" s="188"/>
      <c r="N132" s="188"/>
      <c r="O132" s="188"/>
      <c r="P132" s="188"/>
      <c r="Q132" s="188"/>
      <c r="R132" s="188"/>
      <c r="S132" s="188"/>
      <c r="T132" s="188"/>
      <c r="U132" s="189"/>
    </row>
    <row r="133" spans="2:21" x14ac:dyDescent="0.35">
      <c r="B133" s="186"/>
      <c r="C133" s="163"/>
      <c r="D133" s="188"/>
      <c r="E133" s="188"/>
      <c r="F133" s="188"/>
      <c r="G133" s="188"/>
      <c r="H133" s="188"/>
      <c r="I133" s="188"/>
      <c r="J133" s="188"/>
      <c r="K133" s="188"/>
      <c r="L133" s="188"/>
      <c r="M133" s="188"/>
      <c r="N133" s="188"/>
      <c r="O133" s="188"/>
      <c r="P133" s="188"/>
      <c r="Q133" s="188"/>
      <c r="R133" s="188"/>
      <c r="S133" s="188"/>
      <c r="T133" s="188"/>
      <c r="U133" s="189"/>
    </row>
    <row r="134" spans="2:21" x14ac:dyDescent="0.35">
      <c r="B134" s="186"/>
      <c r="C134" s="163"/>
      <c r="D134" s="188"/>
      <c r="E134" s="188"/>
      <c r="F134" s="188"/>
      <c r="G134" s="188"/>
      <c r="H134" s="188"/>
      <c r="I134" s="188"/>
      <c r="J134" s="188"/>
      <c r="K134" s="188"/>
      <c r="L134" s="188"/>
      <c r="M134" s="188"/>
      <c r="N134" s="188"/>
      <c r="O134" s="188"/>
      <c r="P134" s="188"/>
      <c r="Q134" s="188"/>
      <c r="R134" s="188"/>
      <c r="S134" s="188"/>
      <c r="T134" s="188"/>
      <c r="U134" s="189"/>
    </row>
    <row r="135" spans="2:21" x14ac:dyDescent="0.35">
      <c r="B135" s="186"/>
      <c r="C135" s="163"/>
      <c r="D135" s="188"/>
      <c r="E135" s="188"/>
      <c r="F135" s="188"/>
      <c r="G135" s="188"/>
      <c r="H135" s="188"/>
      <c r="I135" s="188"/>
      <c r="J135" s="188"/>
      <c r="K135" s="188"/>
      <c r="L135" s="188"/>
      <c r="M135" s="188"/>
      <c r="N135" s="188"/>
      <c r="O135" s="188"/>
      <c r="P135" s="188"/>
      <c r="Q135" s="188"/>
      <c r="R135" s="188"/>
      <c r="S135" s="188"/>
      <c r="T135" s="188"/>
      <c r="U135" s="189"/>
    </row>
    <row r="136" spans="2:21" x14ac:dyDescent="0.35">
      <c r="B136" s="186"/>
      <c r="C136" s="163"/>
      <c r="D136" s="188"/>
      <c r="E136" s="188"/>
      <c r="F136" s="188"/>
      <c r="G136" s="188"/>
      <c r="H136" s="188"/>
      <c r="I136" s="188"/>
      <c r="J136" s="188"/>
      <c r="K136" s="188"/>
      <c r="L136" s="188"/>
      <c r="M136" s="188"/>
      <c r="N136" s="188"/>
      <c r="O136" s="188"/>
      <c r="P136" s="188"/>
      <c r="Q136" s="188"/>
      <c r="R136" s="188"/>
      <c r="S136" s="188"/>
      <c r="T136" s="188"/>
      <c r="U136" s="189"/>
    </row>
    <row r="137" spans="2:21" x14ac:dyDescent="0.35">
      <c r="B137" s="186"/>
      <c r="C137" s="163"/>
      <c r="D137" s="188"/>
      <c r="E137" s="188"/>
      <c r="F137" s="188"/>
      <c r="G137" s="188"/>
      <c r="H137" s="188"/>
      <c r="I137" s="188"/>
      <c r="J137" s="188"/>
      <c r="K137" s="188"/>
      <c r="L137" s="188"/>
      <c r="M137" s="188"/>
      <c r="N137" s="188"/>
      <c r="O137" s="188"/>
      <c r="P137" s="188"/>
      <c r="Q137" s="188"/>
      <c r="R137" s="188"/>
      <c r="S137" s="188"/>
      <c r="T137" s="188"/>
      <c r="U137" s="189"/>
    </row>
    <row r="138" spans="2:21" x14ac:dyDescent="0.35">
      <c r="B138" s="186"/>
      <c r="C138" s="163"/>
      <c r="D138" s="188"/>
      <c r="E138" s="188"/>
      <c r="F138" s="188"/>
      <c r="G138" s="188"/>
      <c r="H138" s="188"/>
      <c r="I138" s="188"/>
      <c r="J138" s="188"/>
      <c r="K138" s="188"/>
      <c r="L138" s="188"/>
      <c r="M138" s="188"/>
      <c r="N138" s="188"/>
      <c r="O138" s="188"/>
      <c r="P138" s="188"/>
      <c r="Q138" s="188"/>
      <c r="R138" s="188"/>
      <c r="S138" s="188"/>
      <c r="T138" s="188"/>
      <c r="U138" s="189"/>
    </row>
    <row r="139" spans="2:21" x14ac:dyDescent="0.35">
      <c r="B139" s="186"/>
      <c r="C139" s="163"/>
      <c r="D139" s="188"/>
      <c r="E139" s="188"/>
      <c r="F139" s="188"/>
      <c r="G139" s="188"/>
      <c r="H139" s="188"/>
      <c r="I139" s="188"/>
      <c r="J139" s="188"/>
      <c r="K139" s="188"/>
      <c r="L139" s="188"/>
      <c r="M139" s="188"/>
      <c r="N139" s="188"/>
      <c r="O139" s="188"/>
      <c r="P139" s="188"/>
      <c r="Q139" s="188"/>
      <c r="R139" s="188"/>
      <c r="S139" s="188"/>
      <c r="T139" s="188"/>
      <c r="U139" s="189"/>
    </row>
    <row r="140" spans="2:21" x14ac:dyDescent="0.35">
      <c r="B140" s="186"/>
      <c r="C140" s="163"/>
      <c r="D140" s="188"/>
      <c r="E140" s="188"/>
      <c r="F140" s="188"/>
      <c r="G140" s="188"/>
      <c r="H140" s="188"/>
      <c r="I140" s="188"/>
      <c r="J140" s="188"/>
      <c r="K140" s="188"/>
      <c r="L140" s="188"/>
      <c r="M140" s="188"/>
      <c r="N140" s="188"/>
      <c r="O140" s="188"/>
      <c r="P140" s="188"/>
      <c r="Q140" s="188"/>
      <c r="R140" s="188"/>
      <c r="S140" s="188"/>
      <c r="T140" s="188"/>
      <c r="U140" s="189"/>
    </row>
    <row r="141" spans="2:21" x14ac:dyDescent="0.35">
      <c r="B141" s="186"/>
      <c r="C141" s="163"/>
      <c r="D141" s="188"/>
      <c r="E141" s="188"/>
      <c r="F141" s="188"/>
      <c r="G141" s="188"/>
      <c r="H141" s="188"/>
      <c r="I141" s="188"/>
      <c r="J141" s="188"/>
      <c r="K141" s="188"/>
      <c r="L141" s="188"/>
      <c r="M141" s="188"/>
      <c r="N141" s="188"/>
      <c r="O141" s="188"/>
      <c r="P141" s="188"/>
      <c r="Q141" s="188"/>
      <c r="R141" s="188"/>
      <c r="S141" s="188"/>
      <c r="T141" s="188"/>
      <c r="U141" s="189"/>
    </row>
    <row r="142" spans="2:21" x14ac:dyDescent="0.35">
      <c r="B142" s="186"/>
      <c r="C142" s="163"/>
      <c r="D142" s="188"/>
      <c r="E142" s="188"/>
      <c r="F142" s="188"/>
      <c r="G142" s="188"/>
      <c r="H142" s="188"/>
      <c r="I142" s="188"/>
      <c r="J142" s="188"/>
      <c r="K142" s="188"/>
      <c r="L142" s="188"/>
      <c r="M142" s="188"/>
      <c r="N142" s="188"/>
      <c r="O142" s="188"/>
      <c r="P142" s="188"/>
      <c r="Q142" s="188"/>
      <c r="R142" s="188"/>
      <c r="S142" s="188"/>
      <c r="T142" s="188"/>
      <c r="U142" s="189"/>
    </row>
    <row r="143" spans="2:21" x14ac:dyDescent="0.35">
      <c r="B143" s="186"/>
      <c r="C143" s="163"/>
      <c r="D143" s="188"/>
      <c r="E143" s="188"/>
      <c r="F143" s="188"/>
      <c r="G143" s="188"/>
      <c r="H143" s="188"/>
      <c r="I143" s="188"/>
      <c r="J143" s="188"/>
      <c r="K143" s="188"/>
      <c r="L143" s="188"/>
      <c r="M143" s="188"/>
      <c r="N143" s="188"/>
      <c r="O143" s="188"/>
      <c r="P143" s="188"/>
      <c r="Q143" s="188"/>
      <c r="R143" s="188"/>
      <c r="S143" s="188"/>
      <c r="T143" s="188"/>
      <c r="U143" s="189"/>
    </row>
    <row r="144" spans="2:21" x14ac:dyDescent="0.35">
      <c r="B144" s="186"/>
      <c r="C144" s="163"/>
      <c r="D144" s="188"/>
      <c r="E144" s="188"/>
      <c r="F144" s="188"/>
      <c r="G144" s="188"/>
      <c r="H144" s="188"/>
      <c r="I144" s="188"/>
      <c r="J144" s="188"/>
      <c r="K144" s="188"/>
      <c r="L144" s="188"/>
      <c r="M144" s="188"/>
      <c r="N144" s="188"/>
      <c r="O144" s="188"/>
      <c r="P144" s="188"/>
      <c r="Q144" s="188"/>
      <c r="R144" s="188"/>
      <c r="S144" s="188"/>
      <c r="T144" s="188"/>
      <c r="U144" s="189"/>
    </row>
    <row r="145" spans="2:21" x14ac:dyDescent="0.35">
      <c r="B145" s="186"/>
      <c r="C145" s="163"/>
      <c r="D145" s="188"/>
      <c r="E145" s="188"/>
      <c r="F145" s="188"/>
      <c r="G145" s="188"/>
      <c r="H145" s="188"/>
      <c r="I145" s="188"/>
      <c r="J145" s="188"/>
      <c r="K145" s="188"/>
      <c r="L145" s="188"/>
      <c r="M145" s="188"/>
      <c r="N145" s="188"/>
      <c r="O145" s="188"/>
      <c r="P145" s="188"/>
      <c r="Q145" s="188"/>
      <c r="R145" s="188"/>
      <c r="S145" s="188"/>
      <c r="T145" s="188"/>
      <c r="U145" s="189"/>
    </row>
    <row r="146" spans="2:21" x14ac:dyDescent="0.35">
      <c r="B146" s="186"/>
      <c r="C146" s="163"/>
      <c r="D146" s="188"/>
      <c r="E146" s="188"/>
      <c r="F146" s="188"/>
      <c r="G146" s="188"/>
      <c r="H146" s="188"/>
      <c r="I146" s="188"/>
      <c r="J146" s="188"/>
      <c r="K146" s="188"/>
      <c r="L146" s="188"/>
      <c r="M146" s="188"/>
      <c r="N146" s="188"/>
      <c r="O146" s="188"/>
      <c r="P146" s="188"/>
      <c r="Q146" s="188"/>
      <c r="R146" s="188"/>
      <c r="S146" s="188"/>
      <c r="T146" s="188"/>
      <c r="U146" s="189"/>
    </row>
    <row r="147" spans="2:21" x14ac:dyDescent="0.35">
      <c r="B147" s="186"/>
      <c r="C147" s="163"/>
      <c r="D147" s="188"/>
      <c r="E147" s="188"/>
      <c r="F147" s="188"/>
      <c r="G147" s="188"/>
      <c r="H147" s="188"/>
      <c r="I147" s="188"/>
      <c r="J147" s="188"/>
      <c r="K147" s="188"/>
      <c r="L147" s="188"/>
      <c r="M147" s="188"/>
      <c r="N147" s="188"/>
      <c r="O147" s="188"/>
      <c r="P147" s="188"/>
      <c r="Q147" s="188"/>
      <c r="R147" s="188"/>
      <c r="S147" s="188"/>
      <c r="T147" s="188"/>
      <c r="U147" s="189"/>
    </row>
    <row r="148" spans="2:21" x14ac:dyDescent="0.35">
      <c r="B148" s="186"/>
      <c r="C148" s="163"/>
      <c r="D148" s="188"/>
      <c r="E148" s="188"/>
      <c r="F148" s="188"/>
      <c r="G148" s="188"/>
      <c r="H148" s="188"/>
      <c r="I148" s="188"/>
      <c r="J148" s="188"/>
      <c r="K148" s="188"/>
      <c r="L148" s="188"/>
      <c r="M148" s="188"/>
      <c r="N148" s="188"/>
      <c r="O148" s="188"/>
      <c r="P148" s="188"/>
      <c r="Q148" s="188"/>
      <c r="R148" s="188"/>
      <c r="S148" s="188"/>
      <c r="T148" s="188"/>
      <c r="U148" s="189"/>
    </row>
    <row r="149" spans="2:21" x14ac:dyDescent="0.35">
      <c r="B149" s="186"/>
      <c r="C149" s="163"/>
      <c r="D149" s="188"/>
      <c r="E149" s="188"/>
      <c r="F149" s="188"/>
      <c r="G149" s="188"/>
      <c r="H149" s="188"/>
      <c r="I149" s="188"/>
      <c r="J149" s="188"/>
      <c r="K149" s="188"/>
      <c r="L149" s="188"/>
      <c r="M149" s="188"/>
      <c r="N149" s="188"/>
      <c r="O149" s="188"/>
      <c r="P149" s="188"/>
      <c r="Q149" s="188"/>
      <c r="R149" s="188"/>
      <c r="S149" s="188"/>
      <c r="T149" s="188"/>
      <c r="U149" s="189"/>
    </row>
    <row r="150" spans="2:21" x14ac:dyDescent="0.35">
      <c r="B150" s="186"/>
      <c r="C150" s="163"/>
      <c r="D150" s="188"/>
      <c r="E150" s="188"/>
      <c r="F150" s="188"/>
      <c r="G150" s="188"/>
      <c r="H150" s="188"/>
      <c r="I150" s="188"/>
      <c r="J150" s="188"/>
      <c r="K150" s="188"/>
      <c r="L150" s="188"/>
      <c r="M150" s="188"/>
      <c r="N150" s="188"/>
      <c r="O150" s="188"/>
      <c r="P150" s="188"/>
      <c r="Q150" s="188"/>
      <c r="R150" s="188"/>
      <c r="S150" s="188"/>
      <c r="T150" s="188"/>
      <c r="U150" s="189"/>
    </row>
    <row r="151" spans="2:21" x14ac:dyDescent="0.35">
      <c r="B151" s="186"/>
      <c r="C151" s="163"/>
      <c r="D151" s="188"/>
      <c r="E151" s="188"/>
      <c r="F151" s="188"/>
      <c r="G151" s="188"/>
      <c r="H151" s="188"/>
      <c r="I151" s="188"/>
      <c r="J151" s="188"/>
      <c r="K151" s="188"/>
      <c r="L151" s="188"/>
      <c r="M151" s="188"/>
      <c r="N151" s="188"/>
      <c r="O151" s="188"/>
      <c r="P151" s="188"/>
      <c r="Q151" s="188"/>
      <c r="R151" s="188"/>
      <c r="S151" s="188"/>
      <c r="T151" s="188"/>
      <c r="U151" s="189"/>
    </row>
    <row r="152" spans="2:21" x14ac:dyDescent="0.35">
      <c r="B152" s="186"/>
      <c r="C152" s="163"/>
      <c r="D152" s="188"/>
      <c r="E152" s="188"/>
      <c r="F152" s="188"/>
      <c r="G152" s="188"/>
      <c r="H152" s="188"/>
      <c r="I152" s="188"/>
      <c r="J152" s="188"/>
      <c r="K152" s="188"/>
      <c r="L152" s="188"/>
      <c r="M152" s="188"/>
      <c r="N152" s="188"/>
      <c r="O152" s="188"/>
      <c r="P152" s="188"/>
      <c r="Q152" s="188"/>
      <c r="R152" s="188"/>
      <c r="S152" s="188"/>
      <c r="T152" s="188"/>
      <c r="U152" s="189"/>
    </row>
    <row r="153" spans="2:21" x14ac:dyDescent="0.35">
      <c r="B153" s="186"/>
      <c r="C153" s="163"/>
      <c r="D153" s="188"/>
      <c r="E153" s="188"/>
      <c r="F153" s="188"/>
      <c r="G153" s="188"/>
      <c r="H153" s="188"/>
      <c r="I153" s="188"/>
      <c r="J153" s="188"/>
      <c r="K153" s="188"/>
      <c r="L153" s="188"/>
      <c r="M153" s="188"/>
      <c r="N153" s="188"/>
      <c r="O153" s="188"/>
      <c r="P153" s="188"/>
      <c r="Q153" s="188"/>
      <c r="R153" s="188"/>
      <c r="S153" s="188"/>
      <c r="T153" s="188"/>
      <c r="U153" s="189"/>
    </row>
    <row r="154" spans="2:21" x14ac:dyDescent="0.35">
      <c r="B154" s="186"/>
      <c r="C154" s="163"/>
      <c r="D154" s="188"/>
      <c r="E154" s="188"/>
      <c r="F154" s="188"/>
      <c r="G154" s="188"/>
      <c r="H154" s="188"/>
      <c r="I154" s="188"/>
      <c r="J154" s="188"/>
      <c r="K154" s="188"/>
      <c r="L154" s="188"/>
      <c r="M154" s="188"/>
      <c r="N154" s="188"/>
      <c r="O154" s="188"/>
      <c r="P154" s="188"/>
      <c r="Q154" s="188"/>
      <c r="R154" s="188"/>
      <c r="S154" s="188"/>
      <c r="T154" s="188"/>
      <c r="U154" s="189"/>
    </row>
    <row r="155" spans="2:21" x14ac:dyDescent="0.35">
      <c r="B155" s="186"/>
      <c r="C155" s="163"/>
      <c r="D155" s="188"/>
      <c r="E155" s="188"/>
      <c r="F155" s="188"/>
      <c r="G155" s="188"/>
      <c r="H155" s="188"/>
      <c r="I155" s="188"/>
      <c r="J155" s="188"/>
      <c r="K155" s="188"/>
      <c r="L155" s="188"/>
      <c r="M155" s="188"/>
      <c r="N155" s="188"/>
      <c r="O155" s="188"/>
      <c r="P155" s="188"/>
      <c r="Q155" s="188"/>
      <c r="R155" s="188"/>
      <c r="S155" s="188"/>
      <c r="T155" s="188"/>
      <c r="U155" s="189"/>
    </row>
    <row r="156" spans="2:21" x14ac:dyDescent="0.35">
      <c r="B156" s="186"/>
      <c r="C156" s="163"/>
      <c r="D156" s="188"/>
      <c r="E156" s="188"/>
      <c r="F156" s="188"/>
      <c r="G156" s="188"/>
      <c r="H156" s="188"/>
      <c r="I156" s="188"/>
      <c r="J156" s="188"/>
      <c r="K156" s="188"/>
      <c r="L156" s="188"/>
      <c r="M156" s="188"/>
      <c r="N156" s="188"/>
      <c r="O156" s="188"/>
      <c r="P156" s="188"/>
      <c r="Q156" s="188"/>
      <c r="R156" s="188"/>
      <c r="S156" s="188"/>
      <c r="T156" s="188"/>
      <c r="U156" s="189"/>
    </row>
    <row r="157" spans="2:21" x14ac:dyDescent="0.35">
      <c r="B157" s="186"/>
      <c r="C157" s="163"/>
      <c r="D157" s="188"/>
      <c r="E157" s="188"/>
      <c r="F157" s="188"/>
      <c r="G157" s="188"/>
      <c r="H157" s="188"/>
      <c r="I157" s="188"/>
      <c r="J157" s="188"/>
      <c r="K157" s="188"/>
      <c r="L157" s="188"/>
      <c r="M157" s="188"/>
      <c r="N157" s="188"/>
      <c r="O157" s="188"/>
      <c r="P157" s="188"/>
      <c r="Q157" s="188"/>
      <c r="R157" s="188"/>
      <c r="S157" s="188"/>
      <c r="T157" s="188"/>
      <c r="U157" s="189"/>
    </row>
    <row r="158" spans="2:21" x14ac:dyDescent="0.35">
      <c r="B158" s="186"/>
      <c r="C158" s="163"/>
      <c r="D158" s="188"/>
      <c r="E158" s="188"/>
      <c r="F158" s="188"/>
      <c r="G158" s="188"/>
      <c r="H158" s="188"/>
      <c r="I158" s="188"/>
      <c r="J158" s="188"/>
      <c r="K158" s="188"/>
      <c r="L158" s="188"/>
      <c r="M158" s="188"/>
      <c r="N158" s="188"/>
      <c r="O158" s="188"/>
      <c r="P158" s="188"/>
      <c r="Q158" s="188"/>
      <c r="R158" s="188"/>
      <c r="S158" s="188"/>
      <c r="T158" s="188"/>
      <c r="U158" s="189"/>
    </row>
    <row r="159" spans="2:21" x14ac:dyDescent="0.35">
      <c r="B159" s="186"/>
      <c r="C159" s="163"/>
      <c r="D159" s="188"/>
      <c r="E159" s="188"/>
      <c r="F159" s="188"/>
      <c r="G159" s="188"/>
      <c r="H159" s="188"/>
      <c r="I159" s="188"/>
      <c r="J159" s="188"/>
      <c r="K159" s="188"/>
      <c r="L159" s="188"/>
      <c r="M159" s="188"/>
      <c r="N159" s="188"/>
      <c r="O159" s="188"/>
      <c r="P159" s="188"/>
      <c r="Q159" s="188"/>
      <c r="R159" s="188"/>
      <c r="S159" s="188"/>
      <c r="T159" s="188"/>
      <c r="U159" s="189"/>
    </row>
    <row r="160" spans="2:21" x14ac:dyDescent="0.35">
      <c r="B160" s="186"/>
      <c r="C160" s="163"/>
      <c r="D160" s="188"/>
      <c r="E160" s="188"/>
      <c r="F160" s="188"/>
      <c r="G160" s="188"/>
      <c r="H160" s="188"/>
      <c r="I160" s="188"/>
      <c r="J160" s="188"/>
      <c r="K160" s="188"/>
      <c r="L160" s="188"/>
      <c r="M160" s="188"/>
      <c r="N160" s="188"/>
      <c r="O160" s="188"/>
      <c r="P160" s="188"/>
      <c r="Q160" s="188"/>
      <c r="R160" s="188"/>
      <c r="S160" s="188"/>
      <c r="T160" s="188"/>
      <c r="U160" s="189"/>
    </row>
    <row r="161" spans="2:21" x14ac:dyDescent="0.35">
      <c r="B161" s="186"/>
      <c r="C161" s="163"/>
      <c r="D161" s="188"/>
      <c r="E161" s="188"/>
      <c r="F161" s="188"/>
      <c r="G161" s="188"/>
      <c r="H161" s="188"/>
      <c r="I161" s="188"/>
      <c r="J161" s="188"/>
      <c r="K161" s="188"/>
      <c r="L161" s="188"/>
      <c r="M161" s="188"/>
      <c r="N161" s="188"/>
      <c r="O161" s="188"/>
      <c r="P161" s="188"/>
      <c r="Q161" s="188"/>
      <c r="R161" s="188"/>
      <c r="S161" s="188"/>
      <c r="T161" s="188"/>
      <c r="U161" s="189"/>
    </row>
    <row r="162" spans="2:21" x14ac:dyDescent="0.35">
      <c r="B162" s="186"/>
      <c r="C162" s="163"/>
      <c r="D162" s="188"/>
      <c r="E162" s="188"/>
      <c r="F162" s="188"/>
      <c r="G162" s="188"/>
      <c r="H162" s="188"/>
      <c r="I162" s="188"/>
      <c r="J162" s="188"/>
      <c r="K162" s="188"/>
      <c r="L162" s="188"/>
      <c r="M162" s="188"/>
      <c r="N162" s="188"/>
      <c r="O162" s="188"/>
      <c r="P162" s="188"/>
      <c r="Q162" s="188"/>
      <c r="R162" s="188"/>
      <c r="S162" s="188"/>
      <c r="T162" s="188"/>
      <c r="U162" s="189"/>
    </row>
    <row r="163" spans="2:21" x14ac:dyDescent="0.35">
      <c r="B163" s="186"/>
      <c r="C163" s="163"/>
      <c r="D163" s="188"/>
      <c r="E163" s="188"/>
      <c r="F163" s="188"/>
      <c r="G163" s="188"/>
      <c r="H163" s="188"/>
      <c r="I163" s="188"/>
      <c r="J163" s="188"/>
      <c r="K163" s="188"/>
      <c r="L163" s="188"/>
      <c r="M163" s="188"/>
      <c r="N163" s="188"/>
      <c r="O163" s="188"/>
      <c r="P163" s="188"/>
      <c r="Q163" s="188"/>
      <c r="R163" s="188"/>
      <c r="S163" s="188"/>
      <c r="T163" s="188"/>
      <c r="U163" s="189"/>
    </row>
    <row r="164" spans="2:21" x14ac:dyDescent="0.35">
      <c r="B164" s="186"/>
      <c r="C164" s="163"/>
      <c r="D164" s="188"/>
      <c r="E164" s="188"/>
      <c r="F164" s="188"/>
      <c r="G164" s="188"/>
      <c r="H164" s="188"/>
      <c r="I164" s="188"/>
      <c r="J164" s="188"/>
      <c r="K164" s="188"/>
      <c r="L164" s="188"/>
      <c r="M164" s="188"/>
      <c r="N164" s="188"/>
      <c r="O164" s="188"/>
      <c r="P164" s="188"/>
      <c r="Q164" s="188"/>
      <c r="R164" s="188"/>
      <c r="S164" s="188"/>
      <c r="T164" s="188"/>
      <c r="U164" s="189"/>
    </row>
    <row r="165" spans="2:21" x14ac:dyDescent="0.35">
      <c r="B165" s="186"/>
      <c r="C165" s="163"/>
      <c r="D165" s="188"/>
      <c r="E165" s="188"/>
      <c r="F165" s="188"/>
      <c r="G165" s="188"/>
      <c r="H165" s="188"/>
      <c r="I165" s="188"/>
      <c r="J165" s="188"/>
      <c r="K165" s="188"/>
      <c r="L165" s="188"/>
      <c r="M165" s="188"/>
      <c r="N165" s="188"/>
      <c r="O165" s="188"/>
      <c r="P165" s="188"/>
      <c r="Q165" s="188"/>
      <c r="R165" s="188"/>
      <c r="S165" s="188"/>
      <c r="T165" s="188"/>
      <c r="U165" s="189"/>
    </row>
    <row r="166" spans="2:21" x14ac:dyDescent="0.35">
      <c r="B166" s="186"/>
      <c r="C166" s="163"/>
      <c r="D166" s="188"/>
      <c r="E166" s="188"/>
      <c r="F166" s="188"/>
      <c r="G166" s="188"/>
      <c r="H166" s="188"/>
      <c r="I166" s="188"/>
      <c r="J166" s="188"/>
      <c r="K166" s="188"/>
      <c r="L166" s="188"/>
      <c r="M166" s="188"/>
      <c r="N166" s="188"/>
      <c r="O166" s="188"/>
      <c r="P166" s="188"/>
      <c r="Q166" s="188"/>
      <c r="R166" s="188"/>
      <c r="S166" s="188"/>
      <c r="T166" s="188"/>
      <c r="U166" s="189"/>
    </row>
    <row r="167" spans="2:21" x14ac:dyDescent="0.35">
      <c r="B167" s="186"/>
      <c r="C167" s="163"/>
      <c r="D167" s="188"/>
      <c r="E167" s="188"/>
      <c r="F167" s="188"/>
      <c r="G167" s="188"/>
      <c r="H167" s="188"/>
      <c r="I167" s="188"/>
      <c r="J167" s="188"/>
      <c r="K167" s="188"/>
      <c r="L167" s="188"/>
      <c r="M167" s="188"/>
      <c r="N167" s="188"/>
      <c r="O167" s="188"/>
      <c r="P167" s="188"/>
      <c r="Q167" s="188"/>
      <c r="R167" s="188"/>
      <c r="S167" s="188"/>
      <c r="T167" s="188"/>
      <c r="U167" s="189"/>
    </row>
    <row r="168" spans="2:21" x14ac:dyDescent="0.35">
      <c r="B168" s="186"/>
      <c r="C168" s="163"/>
      <c r="D168" s="188"/>
      <c r="E168" s="188"/>
      <c r="F168" s="188"/>
      <c r="G168" s="188"/>
      <c r="H168" s="188"/>
      <c r="I168" s="188"/>
      <c r="J168" s="188"/>
      <c r="K168" s="188"/>
      <c r="L168" s="188"/>
      <c r="M168" s="188"/>
      <c r="N168" s="188"/>
      <c r="O168" s="188"/>
      <c r="P168" s="188"/>
      <c r="Q168" s="188"/>
      <c r="R168" s="188"/>
      <c r="S168" s="188"/>
      <c r="T168" s="188"/>
      <c r="U168" s="189"/>
    </row>
    <row r="169" spans="2:21" x14ac:dyDescent="0.35">
      <c r="B169" s="186"/>
      <c r="C169" s="163"/>
      <c r="D169" s="188"/>
      <c r="E169" s="188"/>
      <c r="F169" s="188"/>
      <c r="G169" s="188"/>
      <c r="H169" s="188"/>
      <c r="I169" s="188"/>
      <c r="J169" s="188"/>
      <c r="K169" s="188"/>
      <c r="L169" s="188"/>
      <c r="M169" s="188"/>
      <c r="N169" s="188"/>
      <c r="O169" s="188"/>
      <c r="P169" s="188"/>
      <c r="Q169" s="188"/>
      <c r="R169" s="188"/>
      <c r="S169" s="188"/>
      <c r="T169" s="188"/>
      <c r="U169" s="189"/>
    </row>
    <row r="170" spans="2:21" x14ac:dyDescent="0.35">
      <c r="B170" s="186"/>
      <c r="C170" s="163"/>
      <c r="D170" s="188"/>
      <c r="E170" s="188"/>
      <c r="F170" s="188"/>
      <c r="G170" s="188"/>
      <c r="H170" s="188"/>
      <c r="I170" s="188"/>
      <c r="J170" s="188"/>
      <c r="K170" s="188"/>
      <c r="L170" s="188"/>
      <c r="M170" s="188"/>
      <c r="N170" s="188"/>
      <c r="O170" s="188"/>
      <c r="P170" s="188"/>
      <c r="Q170" s="188"/>
      <c r="R170" s="188"/>
      <c r="S170" s="188"/>
      <c r="T170" s="188"/>
      <c r="U170" s="189"/>
    </row>
    <row r="171" spans="2:21" x14ac:dyDescent="0.35">
      <c r="B171" s="186"/>
      <c r="C171" s="163"/>
      <c r="D171" s="188"/>
      <c r="E171" s="188"/>
      <c r="F171" s="188"/>
      <c r="G171" s="188"/>
      <c r="H171" s="188"/>
      <c r="I171" s="188"/>
      <c r="J171" s="188"/>
      <c r="K171" s="188"/>
      <c r="L171" s="188"/>
      <c r="M171" s="188"/>
      <c r="N171" s="188"/>
      <c r="O171" s="188"/>
      <c r="P171" s="188"/>
      <c r="Q171" s="188"/>
      <c r="R171" s="188"/>
      <c r="S171" s="188"/>
      <c r="T171" s="188"/>
      <c r="U171" s="189"/>
    </row>
    <row r="172" spans="2:21" x14ac:dyDescent="0.35">
      <c r="B172" s="186"/>
      <c r="C172" s="163"/>
      <c r="D172" s="188"/>
      <c r="E172" s="188"/>
      <c r="F172" s="188"/>
      <c r="G172" s="188"/>
      <c r="H172" s="188"/>
      <c r="I172" s="188"/>
      <c r="J172" s="188"/>
      <c r="K172" s="188"/>
      <c r="L172" s="188"/>
      <c r="M172" s="188"/>
      <c r="N172" s="188"/>
      <c r="O172" s="188"/>
      <c r="P172" s="188"/>
      <c r="Q172" s="188"/>
      <c r="R172" s="188"/>
      <c r="S172" s="188"/>
      <c r="T172" s="188"/>
      <c r="U172" s="189"/>
    </row>
    <row r="173" spans="2:21" x14ac:dyDescent="0.35">
      <c r="B173" s="186"/>
      <c r="C173" s="163"/>
      <c r="D173" s="188"/>
      <c r="E173" s="188"/>
      <c r="F173" s="188"/>
      <c r="G173" s="188"/>
      <c r="H173" s="188"/>
      <c r="I173" s="188"/>
      <c r="J173" s="188"/>
      <c r="K173" s="188"/>
      <c r="L173" s="188"/>
      <c r="M173" s="188"/>
      <c r="N173" s="188"/>
      <c r="O173" s="188"/>
      <c r="P173" s="188"/>
      <c r="Q173" s="188"/>
      <c r="R173" s="188"/>
      <c r="S173" s="188"/>
      <c r="T173" s="188"/>
      <c r="U173" s="189"/>
    </row>
    <row r="174" spans="2:21" x14ac:dyDescent="0.35">
      <c r="B174" s="186"/>
      <c r="C174" s="163"/>
      <c r="D174" s="188"/>
      <c r="E174" s="188"/>
      <c r="F174" s="188"/>
      <c r="G174" s="188"/>
      <c r="H174" s="188"/>
      <c r="I174" s="188"/>
      <c r="J174" s="188"/>
      <c r="K174" s="188"/>
      <c r="L174" s="188"/>
      <c r="M174" s="188"/>
      <c r="N174" s="188"/>
      <c r="O174" s="188"/>
      <c r="P174" s="188"/>
      <c r="Q174" s="188"/>
      <c r="R174" s="188"/>
      <c r="S174" s="188"/>
      <c r="T174" s="188"/>
      <c r="U174" s="189"/>
    </row>
    <row r="175" spans="2:21" x14ac:dyDescent="0.35">
      <c r="B175" s="186"/>
      <c r="C175" s="163"/>
      <c r="D175" s="188"/>
      <c r="E175" s="188"/>
      <c r="F175" s="188"/>
      <c r="G175" s="188"/>
      <c r="H175" s="188"/>
      <c r="I175" s="188"/>
      <c r="J175" s="188"/>
      <c r="K175" s="188"/>
      <c r="L175" s="188"/>
      <c r="M175" s="188"/>
      <c r="N175" s="188"/>
      <c r="O175" s="188"/>
      <c r="P175" s="188"/>
      <c r="Q175" s="188"/>
      <c r="R175" s="188"/>
      <c r="S175" s="188"/>
      <c r="T175" s="188"/>
      <c r="U175" s="189"/>
    </row>
    <row r="176" spans="2:21" x14ac:dyDescent="0.35">
      <c r="B176" s="186"/>
      <c r="C176" s="163"/>
      <c r="D176" s="188"/>
      <c r="E176" s="188"/>
      <c r="F176" s="188"/>
      <c r="G176" s="188"/>
      <c r="H176" s="188"/>
      <c r="I176" s="188"/>
      <c r="J176" s="188"/>
      <c r="K176" s="188"/>
      <c r="L176" s="188"/>
      <c r="M176" s="188"/>
      <c r="N176" s="188"/>
      <c r="O176" s="188"/>
      <c r="P176" s="188"/>
      <c r="Q176" s="188"/>
      <c r="R176" s="188"/>
      <c r="S176" s="188"/>
      <c r="T176" s="188"/>
      <c r="U176" s="189"/>
    </row>
    <row r="177" spans="2:21" x14ac:dyDescent="0.35">
      <c r="B177" s="186"/>
      <c r="C177" s="163"/>
      <c r="D177" s="188"/>
      <c r="E177" s="188"/>
      <c r="F177" s="188"/>
      <c r="G177" s="188"/>
      <c r="H177" s="188"/>
      <c r="I177" s="188"/>
      <c r="J177" s="188"/>
      <c r="K177" s="188"/>
      <c r="L177" s="188"/>
      <c r="M177" s="188"/>
      <c r="N177" s="188"/>
      <c r="O177" s="188"/>
      <c r="P177" s="188"/>
      <c r="Q177" s="188"/>
      <c r="R177" s="188"/>
      <c r="S177" s="188"/>
      <c r="T177" s="188"/>
      <c r="U177" s="189"/>
    </row>
    <row r="178" spans="2:21" x14ac:dyDescent="0.35">
      <c r="B178" s="186"/>
      <c r="C178" s="163"/>
      <c r="D178" s="188"/>
      <c r="E178" s="188"/>
      <c r="F178" s="188"/>
      <c r="G178" s="188"/>
      <c r="H178" s="188"/>
      <c r="I178" s="188"/>
      <c r="J178" s="188"/>
      <c r="K178" s="188"/>
      <c r="L178" s="188"/>
      <c r="M178" s="188"/>
      <c r="N178" s="188"/>
      <c r="O178" s="188"/>
      <c r="P178" s="188"/>
      <c r="Q178" s="188"/>
      <c r="R178" s="188"/>
      <c r="S178" s="188"/>
      <c r="T178" s="188"/>
      <c r="U178" s="189"/>
    </row>
    <row r="179" spans="2:21" x14ac:dyDescent="0.35">
      <c r="B179" s="186"/>
      <c r="C179" s="163"/>
      <c r="D179" s="188"/>
      <c r="E179" s="188"/>
      <c r="F179" s="188"/>
      <c r="G179" s="188"/>
      <c r="H179" s="188"/>
      <c r="I179" s="188"/>
      <c r="J179" s="188"/>
      <c r="K179" s="188"/>
      <c r="L179" s="188"/>
      <c r="M179" s="188"/>
      <c r="N179" s="188"/>
      <c r="O179" s="188"/>
      <c r="P179" s="188"/>
      <c r="Q179" s="188"/>
      <c r="R179" s="188"/>
      <c r="S179" s="188"/>
      <c r="T179" s="188"/>
      <c r="U179" s="189"/>
    </row>
    <row r="180" spans="2:21" x14ac:dyDescent="0.35">
      <c r="B180" s="186"/>
      <c r="C180" s="163"/>
      <c r="D180" s="188"/>
      <c r="E180" s="188"/>
      <c r="F180" s="188"/>
      <c r="G180" s="188"/>
      <c r="H180" s="188"/>
      <c r="I180" s="188"/>
      <c r="J180" s="188"/>
      <c r="K180" s="188"/>
      <c r="L180" s="188"/>
      <c r="M180" s="188"/>
      <c r="N180" s="188"/>
      <c r="O180" s="188"/>
      <c r="P180" s="188"/>
      <c r="Q180" s="188"/>
      <c r="R180" s="188"/>
      <c r="S180" s="188"/>
      <c r="T180" s="188"/>
      <c r="U180" s="189"/>
    </row>
    <row r="181" spans="2:21" x14ac:dyDescent="0.35">
      <c r="B181" s="186"/>
      <c r="C181" s="163"/>
      <c r="D181" s="188"/>
      <c r="E181" s="188"/>
      <c r="F181" s="188"/>
      <c r="G181" s="188"/>
      <c r="H181" s="188"/>
      <c r="I181" s="188"/>
      <c r="J181" s="188"/>
      <c r="K181" s="188"/>
      <c r="L181" s="188"/>
      <c r="M181" s="188"/>
      <c r="N181" s="188"/>
      <c r="O181" s="188"/>
      <c r="P181" s="188"/>
      <c r="Q181" s="188"/>
      <c r="R181" s="188"/>
      <c r="S181" s="188"/>
      <c r="T181" s="188"/>
      <c r="U181" s="189"/>
    </row>
    <row r="182" spans="2:21" x14ac:dyDescent="0.35">
      <c r="B182" s="186"/>
      <c r="C182" s="163"/>
      <c r="D182" s="188"/>
      <c r="E182" s="188"/>
      <c r="F182" s="188"/>
      <c r="G182" s="188"/>
      <c r="H182" s="188"/>
      <c r="I182" s="188"/>
      <c r="J182" s="188"/>
      <c r="K182" s="188"/>
      <c r="L182" s="188"/>
      <c r="M182" s="188"/>
      <c r="N182" s="188"/>
      <c r="O182" s="188"/>
      <c r="P182" s="188"/>
      <c r="Q182" s="188"/>
      <c r="R182" s="188"/>
      <c r="S182" s="188"/>
      <c r="T182" s="188"/>
      <c r="U182" s="189"/>
    </row>
    <row r="183" spans="2:21" x14ac:dyDescent="0.35">
      <c r="B183" s="186"/>
      <c r="C183" s="163"/>
      <c r="D183" s="188"/>
      <c r="E183" s="188"/>
      <c r="F183" s="188"/>
      <c r="G183" s="188"/>
      <c r="H183" s="188"/>
      <c r="I183" s="188"/>
      <c r="J183" s="188"/>
      <c r="K183" s="188"/>
      <c r="L183" s="188"/>
      <c r="M183" s="188"/>
      <c r="N183" s="188"/>
      <c r="O183" s="188"/>
      <c r="P183" s="188"/>
      <c r="Q183" s="188"/>
      <c r="R183" s="188"/>
      <c r="S183" s="188"/>
      <c r="T183" s="188"/>
      <c r="U183" s="189"/>
    </row>
    <row r="184" spans="2:21" x14ac:dyDescent="0.35">
      <c r="B184" s="186"/>
      <c r="C184" s="163"/>
      <c r="D184" s="188"/>
      <c r="E184" s="188"/>
      <c r="F184" s="188"/>
      <c r="G184" s="188"/>
      <c r="H184" s="188"/>
      <c r="I184" s="188"/>
      <c r="J184" s="188"/>
      <c r="K184" s="188"/>
      <c r="L184" s="188"/>
      <c r="M184" s="188"/>
      <c r="N184" s="188"/>
      <c r="O184" s="188"/>
      <c r="P184" s="188"/>
      <c r="Q184" s="188"/>
      <c r="R184" s="188"/>
      <c r="S184" s="188"/>
      <c r="T184" s="188"/>
      <c r="U184" s="189"/>
    </row>
    <row r="185" spans="2:21" x14ac:dyDescent="0.35">
      <c r="B185" s="186"/>
      <c r="C185" s="163"/>
      <c r="D185" s="188"/>
      <c r="E185" s="188"/>
      <c r="F185" s="188"/>
      <c r="G185" s="188"/>
      <c r="H185" s="188"/>
      <c r="I185" s="188"/>
      <c r="J185" s="188"/>
      <c r="K185" s="188"/>
      <c r="L185" s="188"/>
      <c r="M185" s="188"/>
      <c r="N185" s="188"/>
      <c r="O185" s="188"/>
      <c r="P185" s="188"/>
      <c r="Q185" s="188"/>
      <c r="R185" s="188"/>
      <c r="S185" s="188"/>
      <c r="T185" s="188"/>
      <c r="U185" s="189"/>
    </row>
    <row r="186" spans="2:21" x14ac:dyDescent="0.35">
      <c r="B186" s="186"/>
      <c r="C186" s="163"/>
      <c r="D186" s="188"/>
      <c r="E186" s="188"/>
      <c r="F186" s="188"/>
      <c r="G186" s="188"/>
      <c r="H186" s="188"/>
      <c r="I186" s="188"/>
      <c r="J186" s="188"/>
      <c r="K186" s="188"/>
      <c r="L186" s="188"/>
      <c r="M186" s="188"/>
      <c r="N186" s="188"/>
      <c r="O186" s="188"/>
      <c r="P186" s="188"/>
      <c r="Q186" s="188"/>
      <c r="R186" s="188"/>
      <c r="S186" s="188"/>
      <c r="T186" s="188"/>
      <c r="U186" s="189"/>
    </row>
    <row r="187" spans="2:21" x14ac:dyDescent="0.35">
      <c r="B187" s="186"/>
      <c r="C187" s="163"/>
      <c r="D187" s="188"/>
      <c r="E187" s="188"/>
      <c r="F187" s="188"/>
      <c r="G187" s="188"/>
      <c r="H187" s="188"/>
      <c r="I187" s="188"/>
      <c r="J187" s="188"/>
      <c r="K187" s="188"/>
      <c r="L187" s="188"/>
      <c r="M187" s="188"/>
      <c r="N187" s="188"/>
      <c r="O187" s="188"/>
      <c r="P187" s="188"/>
      <c r="Q187" s="188"/>
      <c r="R187" s="188"/>
      <c r="S187" s="188"/>
      <c r="T187" s="188"/>
      <c r="U187" s="189"/>
    </row>
    <row r="188" spans="2:21" x14ac:dyDescent="0.35">
      <c r="B188" s="186"/>
      <c r="C188" s="163"/>
      <c r="D188" s="188"/>
      <c r="E188" s="188"/>
      <c r="F188" s="188"/>
      <c r="G188" s="188"/>
      <c r="H188" s="188"/>
      <c r="I188" s="188"/>
      <c r="J188" s="188"/>
      <c r="K188" s="188"/>
      <c r="L188" s="188"/>
      <c r="M188" s="188"/>
      <c r="N188" s="188"/>
      <c r="O188" s="188"/>
      <c r="P188" s="188"/>
      <c r="Q188" s="188"/>
      <c r="R188" s="188"/>
      <c r="S188" s="188"/>
      <c r="T188" s="188"/>
      <c r="U188" s="189"/>
    </row>
    <row r="189" spans="2:21" x14ac:dyDescent="0.35">
      <c r="B189" s="186"/>
      <c r="C189" s="163"/>
      <c r="D189" s="188"/>
      <c r="E189" s="188"/>
      <c r="F189" s="188"/>
      <c r="G189" s="188"/>
      <c r="H189" s="188"/>
      <c r="I189" s="188"/>
      <c r="J189" s="188"/>
      <c r="K189" s="188"/>
      <c r="L189" s="188"/>
      <c r="M189" s="188"/>
      <c r="N189" s="188"/>
      <c r="O189" s="188"/>
      <c r="P189" s="188"/>
      <c r="Q189" s="188"/>
      <c r="R189" s="188"/>
      <c r="S189" s="188"/>
      <c r="T189" s="188"/>
      <c r="U189" s="189"/>
    </row>
    <row r="190" spans="2:21" x14ac:dyDescent="0.35">
      <c r="B190" s="186"/>
      <c r="C190" s="163"/>
      <c r="D190" s="188"/>
      <c r="E190" s="188"/>
      <c r="F190" s="188"/>
      <c r="G190" s="188"/>
      <c r="H190" s="188"/>
      <c r="I190" s="188"/>
      <c r="J190" s="188"/>
      <c r="K190" s="188"/>
      <c r="L190" s="188"/>
      <c r="M190" s="188"/>
      <c r="N190" s="188"/>
      <c r="O190" s="188"/>
      <c r="P190" s="188"/>
      <c r="Q190" s="188"/>
      <c r="R190" s="188"/>
      <c r="S190" s="188"/>
      <c r="T190" s="188"/>
      <c r="U190" s="189"/>
    </row>
    <row r="191" spans="2:21" x14ac:dyDescent="0.35">
      <c r="B191" s="186"/>
      <c r="C191" s="163"/>
      <c r="D191" s="188"/>
      <c r="E191" s="188"/>
      <c r="F191" s="188"/>
      <c r="G191" s="188"/>
      <c r="H191" s="188"/>
      <c r="I191" s="188"/>
      <c r="J191" s="188"/>
      <c r="K191" s="188"/>
      <c r="L191" s="188"/>
      <c r="M191" s="188"/>
      <c r="N191" s="188"/>
      <c r="O191" s="188"/>
      <c r="P191" s="188"/>
      <c r="Q191" s="188"/>
      <c r="R191" s="188"/>
      <c r="S191" s="188"/>
      <c r="T191" s="188"/>
      <c r="U191" s="189"/>
    </row>
    <row r="192" spans="2:21" x14ac:dyDescent="0.35">
      <c r="B192" s="186"/>
      <c r="C192" s="163"/>
      <c r="D192" s="188"/>
      <c r="E192" s="188"/>
      <c r="F192" s="188"/>
      <c r="G192" s="188"/>
      <c r="H192" s="188"/>
      <c r="I192" s="188"/>
      <c r="J192" s="188"/>
      <c r="K192" s="188"/>
      <c r="L192" s="188"/>
      <c r="M192" s="188"/>
      <c r="N192" s="188"/>
      <c r="O192" s="188"/>
      <c r="P192" s="188"/>
      <c r="Q192" s="188"/>
      <c r="R192" s="188"/>
      <c r="S192" s="188"/>
      <c r="T192" s="188"/>
      <c r="U192" s="189"/>
    </row>
    <row r="193" spans="2:21" x14ac:dyDescent="0.35">
      <c r="B193" s="186"/>
      <c r="C193" s="163"/>
      <c r="D193" s="188"/>
      <c r="E193" s="188"/>
      <c r="F193" s="188"/>
      <c r="G193" s="188"/>
      <c r="H193" s="188"/>
      <c r="I193" s="188"/>
      <c r="J193" s="188"/>
      <c r="K193" s="188"/>
      <c r="L193" s="188"/>
      <c r="M193" s="188"/>
      <c r="N193" s="188"/>
      <c r="O193" s="188"/>
      <c r="P193" s="188"/>
      <c r="Q193" s="188"/>
      <c r="R193" s="188"/>
      <c r="S193" s="188"/>
      <c r="T193" s="188"/>
      <c r="U193" s="189"/>
    </row>
    <row r="194" spans="2:21" x14ac:dyDescent="0.35">
      <c r="B194" s="186"/>
      <c r="C194" s="163"/>
      <c r="D194" s="188"/>
      <c r="E194" s="188"/>
      <c r="F194" s="188"/>
      <c r="G194" s="188"/>
      <c r="H194" s="188"/>
      <c r="I194" s="188"/>
      <c r="J194" s="188"/>
      <c r="K194" s="188"/>
      <c r="L194" s="188"/>
      <c r="M194" s="188"/>
      <c r="N194" s="188"/>
      <c r="O194" s="188"/>
      <c r="P194" s="188"/>
      <c r="Q194" s="188"/>
      <c r="R194" s="188"/>
      <c r="S194" s="188"/>
      <c r="T194" s="188"/>
      <c r="U194" s="189"/>
    </row>
    <row r="195" spans="2:21" x14ac:dyDescent="0.35">
      <c r="B195" s="186"/>
      <c r="C195" s="163"/>
      <c r="D195" s="188"/>
      <c r="E195" s="188"/>
      <c r="F195" s="188"/>
      <c r="G195" s="188"/>
      <c r="H195" s="188"/>
      <c r="I195" s="188"/>
      <c r="J195" s="188"/>
      <c r="K195" s="188"/>
      <c r="L195" s="188"/>
      <c r="M195" s="188"/>
      <c r="N195" s="188"/>
      <c r="O195" s="188"/>
      <c r="P195" s="188"/>
      <c r="Q195" s="188"/>
      <c r="R195" s="188"/>
      <c r="S195" s="188"/>
      <c r="T195" s="188"/>
      <c r="U195" s="189"/>
    </row>
    <row r="196" spans="2:21" x14ac:dyDescent="0.35">
      <c r="B196" s="186"/>
      <c r="C196" s="163"/>
      <c r="D196" s="188"/>
      <c r="E196" s="188"/>
      <c r="F196" s="188"/>
      <c r="G196" s="188"/>
      <c r="H196" s="188"/>
      <c r="I196" s="188"/>
      <c r="J196" s="188"/>
      <c r="K196" s="188"/>
      <c r="L196" s="188"/>
      <c r="M196" s="188"/>
      <c r="N196" s="188"/>
      <c r="O196" s="188"/>
      <c r="P196" s="188"/>
      <c r="Q196" s="188"/>
      <c r="R196" s="188"/>
      <c r="S196" s="188"/>
      <c r="T196" s="188"/>
      <c r="U196" s="189"/>
    </row>
    <row r="197" spans="2:21" x14ac:dyDescent="0.35">
      <c r="B197" s="186"/>
      <c r="C197" s="163"/>
      <c r="D197" s="188"/>
      <c r="E197" s="188"/>
      <c r="F197" s="188"/>
      <c r="G197" s="188"/>
      <c r="H197" s="188"/>
      <c r="I197" s="188"/>
      <c r="J197" s="188"/>
      <c r="K197" s="188"/>
      <c r="L197" s="188"/>
      <c r="M197" s="188"/>
      <c r="N197" s="188"/>
      <c r="O197" s="188"/>
      <c r="P197" s="188"/>
      <c r="Q197" s="188"/>
      <c r="R197" s="188"/>
      <c r="S197" s="188"/>
      <c r="T197" s="188"/>
      <c r="U197" s="189"/>
    </row>
    <row r="198" spans="2:21" x14ac:dyDescent="0.35">
      <c r="B198" s="186"/>
      <c r="C198" s="163"/>
      <c r="D198" s="188"/>
      <c r="E198" s="188"/>
      <c r="F198" s="188"/>
      <c r="G198" s="188"/>
      <c r="H198" s="188"/>
      <c r="I198" s="188"/>
      <c r="J198" s="188"/>
      <c r="K198" s="188"/>
      <c r="L198" s="188"/>
      <c r="M198" s="188"/>
      <c r="N198" s="188"/>
      <c r="O198" s="188"/>
      <c r="P198" s="188"/>
      <c r="Q198" s="188"/>
      <c r="R198" s="188"/>
      <c r="S198" s="188"/>
      <c r="T198" s="188"/>
      <c r="U198" s="189"/>
    </row>
    <row r="199" spans="2:21" x14ac:dyDescent="0.35">
      <c r="B199" s="186"/>
      <c r="C199" s="163"/>
      <c r="D199" s="188"/>
      <c r="E199" s="188"/>
      <c r="F199" s="188"/>
      <c r="G199" s="188"/>
      <c r="H199" s="188"/>
      <c r="I199" s="188"/>
      <c r="J199" s="188"/>
      <c r="K199" s="188"/>
      <c r="L199" s="188"/>
      <c r="M199" s="188"/>
      <c r="N199" s="188"/>
      <c r="O199" s="188"/>
      <c r="P199" s="188"/>
      <c r="Q199" s="188"/>
      <c r="R199" s="188"/>
      <c r="S199" s="188"/>
      <c r="T199" s="188"/>
      <c r="U199" s="189"/>
    </row>
    <row r="200" spans="2:21" x14ac:dyDescent="0.35">
      <c r="B200" s="186"/>
      <c r="C200" s="163"/>
      <c r="D200" s="188"/>
      <c r="E200" s="188"/>
      <c r="F200" s="188"/>
      <c r="G200" s="188"/>
      <c r="H200" s="188"/>
      <c r="I200" s="188"/>
      <c r="J200" s="188"/>
      <c r="K200" s="188"/>
      <c r="L200" s="188"/>
      <c r="M200" s="188"/>
      <c r="N200" s="188"/>
      <c r="O200" s="188"/>
      <c r="P200" s="188"/>
      <c r="Q200" s="188"/>
      <c r="R200" s="188"/>
      <c r="S200" s="188"/>
      <c r="T200" s="188"/>
      <c r="U200" s="189"/>
    </row>
    <row r="201" spans="2:21" x14ac:dyDescent="0.35">
      <c r="B201" s="186"/>
      <c r="C201" s="163"/>
      <c r="D201" s="188"/>
      <c r="E201" s="188"/>
      <c r="F201" s="188"/>
      <c r="G201" s="188"/>
      <c r="H201" s="188"/>
      <c r="I201" s="188"/>
      <c r="J201" s="188"/>
      <c r="K201" s="188"/>
      <c r="L201" s="188"/>
      <c r="M201" s="188"/>
      <c r="N201" s="188"/>
      <c r="O201" s="188"/>
      <c r="P201" s="188"/>
      <c r="Q201" s="188"/>
      <c r="R201" s="188"/>
      <c r="S201" s="188"/>
      <c r="T201" s="188"/>
      <c r="U201" s="189"/>
    </row>
    <row r="202" spans="2:21" x14ac:dyDescent="0.35">
      <c r="B202" s="186"/>
      <c r="C202" s="163"/>
      <c r="D202" s="188"/>
      <c r="E202" s="188"/>
      <c r="F202" s="188"/>
      <c r="G202" s="188"/>
      <c r="H202" s="188"/>
      <c r="I202" s="188"/>
      <c r="J202" s="188"/>
      <c r="K202" s="188"/>
      <c r="L202" s="188"/>
      <c r="M202" s="188"/>
      <c r="N202" s="188"/>
      <c r="O202" s="188"/>
      <c r="P202" s="188"/>
      <c r="Q202" s="188"/>
      <c r="R202" s="188"/>
      <c r="S202" s="188"/>
      <c r="T202" s="188"/>
      <c r="U202" s="189"/>
    </row>
    <row r="203" spans="2:21" x14ac:dyDescent="0.35">
      <c r="B203" s="186"/>
      <c r="C203" s="163"/>
      <c r="D203" s="188"/>
      <c r="E203" s="188"/>
      <c r="F203" s="188"/>
      <c r="G203" s="188"/>
      <c r="H203" s="188"/>
      <c r="I203" s="188"/>
      <c r="J203" s="188"/>
      <c r="K203" s="188"/>
      <c r="L203" s="188"/>
      <c r="M203" s="188"/>
      <c r="N203" s="188"/>
      <c r="O203" s="188"/>
      <c r="P203" s="188"/>
      <c r="Q203" s="188"/>
      <c r="R203" s="188"/>
      <c r="S203" s="188"/>
      <c r="T203" s="188"/>
      <c r="U203" s="189"/>
    </row>
    <row r="204" spans="2:21" x14ac:dyDescent="0.35">
      <c r="B204" s="186"/>
      <c r="C204" s="163"/>
      <c r="D204" s="188"/>
      <c r="E204" s="188"/>
      <c r="F204" s="188"/>
      <c r="G204" s="188"/>
      <c r="H204" s="188"/>
      <c r="I204" s="188"/>
      <c r="J204" s="188"/>
      <c r="K204" s="188"/>
      <c r="L204" s="188"/>
      <c r="M204" s="188"/>
      <c r="N204" s="188"/>
      <c r="O204" s="188"/>
      <c r="P204" s="188"/>
      <c r="Q204" s="188"/>
      <c r="R204" s="188"/>
      <c r="S204" s="188"/>
      <c r="T204" s="188"/>
      <c r="U204" s="189"/>
    </row>
    <row r="205" spans="2:21" x14ac:dyDescent="0.35">
      <c r="B205" s="186"/>
      <c r="C205" s="163"/>
      <c r="D205" s="188"/>
      <c r="E205" s="188"/>
      <c r="F205" s="188"/>
      <c r="G205" s="188"/>
      <c r="H205" s="188"/>
      <c r="I205" s="188"/>
      <c r="J205" s="188"/>
      <c r="K205" s="188"/>
      <c r="L205" s="188"/>
      <c r="M205" s="188"/>
      <c r="N205" s="188"/>
      <c r="O205" s="188"/>
      <c r="P205" s="188"/>
      <c r="Q205" s="188"/>
      <c r="R205" s="188"/>
      <c r="S205" s="188"/>
      <c r="T205" s="188"/>
      <c r="U205" s="189"/>
    </row>
    <row r="206" spans="2:21" x14ac:dyDescent="0.35">
      <c r="B206" s="186"/>
      <c r="C206" s="163"/>
      <c r="D206" s="188"/>
      <c r="E206" s="188"/>
      <c r="F206" s="188"/>
      <c r="G206" s="188"/>
      <c r="H206" s="188"/>
      <c r="I206" s="188"/>
      <c r="J206" s="188"/>
      <c r="K206" s="188"/>
      <c r="L206" s="188"/>
      <c r="M206" s="188"/>
      <c r="N206" s="188"/>
      <c r="O206" s="188"/>
      <c r="P206" s="188"/>
      <c r="Q206" s="188"/>
      <c r="R206" s="188"/>
      <c r="S206" s="188"/>
      <c r="T206" s="188"/>
      <c r="U206" s="189"/>
    </row>
    <row r="207" spans="2:21" x14ac:dyDescent="0.35">
      <c r="B207" s="186"/>
      <c r="C207" s="163"/>
      <c r="D207" s="188"/>
      <c r="E207" s="188"/>
      <c r="F207" s="188"/>
      <c r="G207" s="188"/>
      <c r="H207" s="188"/>
      <c r="I207" s="188"/>
      <c r="J207" s="188"/>
      <c r="K207" s="188"/>
      <c r="L207" s="188"/>
      <c r="M207" s="188"/>
      <c r="N207" s="188"/>
      <c r="O207" s="188"/>
      <c r="P207" s="188"/>
      <c r="Q207" s="188"/>
      <c r="R207" s="188"/>
      <c r="S207" s="188"/>
      <c r="T207" s="188"/>
      <c r="U207" s="189"/>
    </row>
    <row r="208" spans="2:21" x14ac:dyDescent="0.35">
      <c r="B208" s="186"/>
      <c r="C208" s="163"/>
      <c r="D208" s="188"/>
      <c r="E208" s="188"/>
      <c r="F208" s="188"/>
      <c r="G208" s="188"/>
      <c r="H208" s="188"/>
      <c r="I208" s="188"/>
      <c r="J208" s="188"/>
      <c r="K208" s="188"/>
      <c r="L208" s="188"/>
      <c r="M208" s="188"/>
      <c r="N208" s="188"/>
      <c r="O208" s="188"/>
      <c r="P208" s="188"/>
      <c r="Q208" s="188"/>
      <c r="R208" s="188"/>
      <c r="S208" s="188"/>
      <c r="T208" s="188"/>
      <c r="U208" s="189"/>
    </row>
    <row r="209" spans="2:21" x14ac:dyDescent="0.35">
      <c r="B209" s="186"/>
      <c r="C209" s="163"/>
      <c r="D209" s="188"/>
      <c r="E209" s="188"/>
      <c r="F209" s="188"/>
      <c r="G209" s="188"/>
      <c r="H209" s="188"/>
      <c r="I209" s="188"/>
      <c r="J209" s="188"/>
      <c r="K209" s="188"/>
      <c r="L209" s="188"/>
      <c r="M209" s="188"/>
      <c r="N209" s="188"/>
      <c r="O209" s="188"/>
      <c r="P209" s="188"/>
      <c r="Q209" s="188"/>
      <c r="R209" s="188"/>
      <c r="S209" s="188"/>
      <c r="T209" s="188"/>
      <c r="U209" s="189"/>
    </row>
    <row r="210" spans="2:21" x14ac:dyDescent="0.35">
      <c r="B210" s="186"/>
      <c r="C210" s="163"/>
      <c r="D210" s="188"/>
      <c r="E210" s="188"/>
      <c r="F210" s="188"/>
      <c r="G210" s="188"/>
      <c r="H210" s="188"/>
      <c r="I210" s="188"/>
      <c r="J210" s="188"/>
      <c r="K210" s="188"/>
      <c r="L210" s="188"/>
      <c r="M210" s="188"/>
      <c r="N210" s="188"/>
      <c r="O210" s="188"/>
      <c r="P210" s="188"/>
      <c r="Q210" s="188"/>
      <c r="R210" s="188"/>
      <c r="S210" s="188"/>
      <c r="T210" s="188"/>
      <c r="U210" s="189"/>
    </row>
    <row r="211" spans="2:21" x14ac:dyDescent="0.35">
      <c r="B211" s="186"/>
      <c r="C211" s="163"/>
      <c r="D211" s="188"/>
      <c r="E211" s="188"/>
      <c r="F211" s="188"/>
      <c r="G211" s="188"/>
      <c r="H211" s="188"/>
      <c r="I211" s="188"/>
      <c r="J211" s="188"/>
      <c r="K211" s="188"/>
      <c r="L211" s="188"/>
      <c r="M211" s="188"/>
      <c r="N211" s="188"/>
      <c r="O211" s="188"/>
      <c r="P211" s="188"/>
      <c r="Q211" s="188"/>
      <c r="R211" s="188"/>
      <c r="S211" s="188"/>
      <c r="T211" s="188"/>
      <c r="U211" s="189"/>
    </row>
    <row r="212" spans="2:21" x14ac:dyDescent="0.35">
      <c r="B212" s="186"/>
      <c r="C212" s="163"/>
      <c r="D212" s="188"/>
      <c r="E212" s="188"/>
      <c r="F212" s="188"/>
      <c r="G212" s="188"/>
      <c r="H212" s="188"/>
      <c r="I212" s="188"/>
      <c r="J212" s="188"/>
      <c r="K212" s="188"/>
      <c r="L212" s="188"/>
      <c r="M212" s="188"/>
      <c r="N212" s="188"/>
      <c r="O212" s="188"/>
      <c r="P212" s="188"/>
      <c r="Q212" s="188"/>
      <c r="R212" s="188"/>
      <c r="S212" s="188"/>
      <c r="T212" s="188"/>
      <c r="U212" s="189"/>
    </row>
    <row r="213" spans="2:21" x14ac:dyDescent="0.35">
      <c r="B213" s="186"/>
      <c r="C213" s="163"/>
      <c r="D213" s="188"/>
      <c r="E213" s="188"/>
      <c r="F213" s="188"/>
      <c r="G213" s="188"/>
      <c r="H213" s="188"/>
      <c r="I213" s="188"/>
      <c r="J213" s="188"/>
      <c r="K213" s="188"/>
      <c r="L213" s="188"/>
      <c r="M213" s="188"/>
      <c r="N213" s="188"/>
      <c r="O213" s="188"/>
      <c r="P213" s="188"/>
      <c r="Q213" s="188"/>
      <c r="R213" s="188"/>
      <c r="S213" s="188"/>
      <c r="T213" s="188"/>
      <c r="U213" s="189"/>
    </row>
    <row r="214" spans="2:21" x14ac:dyDescent="0.35">
      <c r="B214" s="186"/>
      <c r="C214" s="163"/>
      <c r="D214" s="188"/>
      <c r="E214" s="188"/>
      <c r="F214" s="188"/>
      <c r="G214" s="188"/>
      <c r="H214" s="188"/>
      <c r="I214" s="188"/>
      <c r="J214" s="188"/>
      <c r="K214" s="188"/>
      <c r="L214" s="188"/>
      <c r="M214" s="188"/>
      <c r="N214" s="188"/>
      <c r="O214" s="188"/>
      <c r="P214" s="188"/>
      <c r="Q214" s="188"/>
      <c r="R214" s="188"/>
      <c r="S214" s="188"/>
      <c r="T214" s="188"/>
      <c r="U214" s="189"/>
    </row>
    <row r="215" spans="2:21" x14ac:dyDescent="0.35">
      <c r="B215" s="186"/>
      <c r="C215" s="163"/>
      <c r="D215" s="188"/>
      <c r="E215" s="188"/>
      <c r="F215" s="188"/>
      <c r="G215" s="188"/>
      <c r="H215" s="188"/>
      <c r="I215" s="188"/>
      <c r="J215" s="188"/>
      <c r="K215" s="188"/>
      <c r="L215" s="188"/>
      <c r="M215" s="188"/>
      <c r="N215" s="188"/>
      <c r="O215" s="188"/>
      <c r="P215" s="188"/>
      <c r="Q215" s="188"/>
      <c r="R215" s="188"/>
      <c r="S215" s="188"/>
      <c r="T215" s="188"/>
      <c r="U215" s="189"/>
    </row>
    <row r="216" spans="2:21" x14ac:dyDescent="0.35">
      <c r="B216" s="186"/>
      <c r="C216" s="163"/>
      <c r="D216" s="188"/>
      <c r="E216" s="188"/>
      <c r="F216" s="188"/>
      <c r="G216" s="188"/>
      <c r="H216" s="188"/>
      <c r="I216" s="188"/>
      <c r="J216" s="188"/>
      <c r="K216" s="188"/>
      <c r="L216" s="188"/>
      <c r="M216" s="188"/>
      <c r="N216" s="188"/>
      <c r="O216" s="188"/>
      <c r="P216" s="188"/>
      <c r="Q216" s="188"/>
      <c r="R216" s="188"/>
      <c r="S216" s="188"/>
      <c r="T216" s="188"/>
      <c r="U216" s="189"/>
    </row>
    <row r="217" spans="2:21" x14ac:dyDescent="0.35">
      <c r="B217" s="186"/>
      <c r="C217" s="163"/>
      <c r="D217" s="188"/>
      <c r="E217" s="188"/>
      <c r="F217" s="188"/>
      <c r="G217" s="188"/>
      <c r="H217" s="188"/>
      <c r="I217" s="188"/>
      <c r="J217" s="188"/>
      <c r="K217" s="188"/>
      <c r="L217" s="188"/>
      <c r="M217" s="188"/>
      <c r="N217" s="188"/>
      <c r="O217" s="188"/>
      <c r="P217" s="188"/>
      <c r="Q217" s="188"/>
      <c r="R217" s="188"/>
      <c r="S217" s="188"/>
      <c r="T217" s="188"/>
      <c r="U217" s="189"/>
    </row>
    <row r="218" spans="2:21" x14ac:dyDescent="0.35">
      <c r="B218" s="186"/>
      <c r="C218" s="163"/>
      <c r="D218" s="188"/>
      <c r="E218" s="188"/>
      <c r="F218" s="188"/>
      <c r="G218" s="188"/>
      <c r="H218" s="188"/>
      <c r="I218" s="188"/>
      <c r="J218" s="188"/>
      <c r="K218" s="188"/>
      <c r="L218" s="188"/>
      <c r="M218" s="188"/>
      <c r="N218" s="188"/>
      <c r="O218" s="188"/>
      <c r="P218" s="188"/>
      <c r="Q218" s="188"/>
      <c r="R218" s="188"/>
      <c r="S218" s="188"/>
      <c r="T218" s="188"/>
      <c r="U218" s="189"/>
    </row>
    <row r="219" spans="2:21" x14ac:dyDescent="0.35">
      <c r="B219" s="186"/>
      <c r="C219" s="163"/>
      <c r="D219" s="188"/>
      <c r="E219" s="188"/>
      <c r="F219" s="188"/>
      <c r="G219" s="188"/>
      <c r="H219" s="188"/>
      <c r="I219" s="188"/>
      <c r="J219" s="188"/>
      <c r="K219" s="188"/>
      <c r="L219" s="188"/>
      <c r="M219" s="188"/>
      <c r="N219" s="188"/>
      <c r="O219" s="188"/>
      <c r="P219" s="188"/>
      <c r="Q219" s="188"/>
      <c r="R219" s="188"/>
      <c r="S219" s="188"/>
      <c r="T219" s="188"/>
      <c r="U219" s="189"/>
    </row>
    <row r="220" spans="2:21" x14ac:dyDescent="0.35">
      <c r="B220" s="186"/>
      <c r="C220" s="163"/>
      <c r="D220" s="188"/>
      <c r="E220" s="188"/>
      <c r="F220" s="188"/>
      <c r="G220" s="188"/>
      <c r="H220" s="188"/>
      <c r="I220" s="188"/>
      <c r="J220" s="188"/>
      <c r="K220" s="188"/>
      <c r="L220" s="188"/>
      <c r="M220" s="188"/>
      <c r="N220" s="188"/>
      <c r="O220" s="188"/>
      <c r="P220" s="188"/>
      <c r="Q220" s="188"/>
      <c r="R220" s="188"/>
      <c r="S220" s="188"/>
      <c r="T220" s="188"/>
      <c r="U220" s="189"/>
    </row>
    <row r="221" spans="2:21" x14ac:dyDescent="0.35">
      <c r="B221" s="186"/>
      <c r="C221" s="163"/>
      <c r="D221" s="188"/>
      <c r="E221" s="188"/>
      <c r="F221" s="188"/>
      <c r="G221" s="188"/>
      <c r="H221" s="188"/>
      <c r="I221" s="188"/>
      <c r="J221" s="188"/>
      <c r="K221" s="188"/>
      <c r="L221" s="188"/>
      <c r="M221" s="188"/>
      <c r="N221" s="188"/>
      <c r="O221" s="188"/>
      <c r="P221" s="188"/>
      <c r="Q221" s="188"/>
      <c r="R221" s="188"/>
      <c r="S221" s="188"/>
      <c r="T221" s="188"/>
      <c r="U221" s="189"/>
    </row>
    <row r="222" spans="2:21" x14ac:dyDescent="0.35">
      <c r="B222" s="186"/>
      <c r="C222" s="163"/>
      <c r="D222" s="188"/>
      <c r="E222" s="188"/>
      <c r="F222" s="188"/>
      <c r="G222" s="188"/>
      <c r="H222" s="188"/>
      <c r="I222" s="188"/>
      <c r="J222" s="188"/>
      <c r="K222" s="188"/>
      <c r="L222" s="188"/>
      <c r="M222" s="188"/>
      <c r="N222" s="188"/>
      <c r="O222" s="188"/>
      <c r="P222" s="188"/>
      <c r="Q222" s="188"/>
      <c r="R222" s="188"/>
      <c r="S222" s="188"/>
      <c r="T222" s="188"/>
      <c r="U222" s="189"/>
    </row>
    <row r="223" spans="2:21" x14ac:dyDescent="0.35">
      <c r="B223" s="186"/>
      <c r="C223" s="163"/>
      <c r="D223" s="188"/>
      <c r="E223" s="188"/>
      <c r="F223" s="188"/>
      <c r="G223" s="188"/>
      <c r="H223" s="188"/>
      <c r="I223" s="188"/>
      <c r="J223" s="188"/>
      <c r="K223" s="188"/>
      <c r="L223" s="188"/>
      <c r="M223" s="188"/>
      <c r="N223" s="188"/>
      <c r="O223" s="188"/>
      <c r="P223" s="188"/>
      <c r="Q223" s="188"/>
      <c r="R223" s="188"/>
      <c r="S223" s="188"/>
      <c r="T223" s="188"/>
      <c r="U223" s="189"/>
    </row>
    <row r="224" spans="2:21" x14ac:dyDescent="0.35">
      <c r="B224" s="186"/>
      <c r="C224" s="163"/>
      <c r="D224" s="188"/>
      <c r="E224" s="188"/>
      <c r="F224" s="188"/>
      <c r="G224" s="188"/>
      <c r="H224" s="188"/>
      <c r="I224" s="188"/>
      <c r="J224" s="188"/>
      <c r="K224" s="188"/>
      <c r="L224" s="188"/>
      <c r="M224" s="188"/>
      <c r="N224" s="188"/>
      <c r="O224" s="188"/>
      <c r="P224" s="188"/>
      <c r="Q224" s="188"/>
      <c r="R224" s="188"/>
      <c r="S224" s="188"/>
      <c r="T224" s="188"/>
      <c r="U224" s="189"/>
    </row>
    <row r="225" spans="2:21" x14ac:dyDescent="0.35">
      <c r="B225" s="186"/>
      <c r="C225" s="163"/>
      <c r="D225" s="188"/>
      <c r="E225" s="188"/>
      <c r="F225" s="188"/>
      <c r="G225" s="188"/>
      <c r="H225" s="188"/>
      <c r="I225" s="188"/>
      <c r="J225" s="188"/>
      <c r="K225" s="188"/>
      <c r="L225" s="188"/>
      <c r="M225" s="188"/>
      <c r="N225" s="188"/>
      <c r="O225" s="188"/>
      <c r="P225" s="188"/>
      <c r="Q225" s="188"/>
      <c r="R225" s="188"/>
      <c r="S225" s="188"/>
      <c r="T225" s="188"/>
      <c r="U225" s="189"/>
    </row>
    <row r="226" spans="2:21" x14ac:dyDescent="0.35">
      <c r="B226" s="186"/>
      <c r="C226" s="163"/>
      <c r="D226" s="188"/>
      <c r="E226" s="188"/>
      <c r="F226" s="188"/>
      <c r="G226" s="188"/>
      <c r="H226" s="188"/>
      <c r="I226" s="188"/>
      <c r="J226" s="188"/>
      <c r="K226" s="188"/>
      <c r="L226" s="188"/>
      <c r="M226" s="188"/>
      <c r="N226" s="188"/>
      <c r="O226" s="188"/>
      <c r="P226" s="188"/>
      <c r="Q226" s="188"/>
      <c r="R226" s="188"/>
      <c r="S226" s="188"/>
      <c r="T226" s="188"/>
      <c r="U226" s="189"/>
    </row>
    <row r="227" spans="2:21" x14ac:dyDescent="0.35">
      <c r="B227" s="186"/>
      <c r="C227" s="163"/>
      <c r="D227" s="188"/>
      <c r="E227" s="188"/>
      <c r="F227" s="188"/>
      <c r="G227" s="188"/>
      <c r="H227" s="188"/>
      <c r="I227" s="188"/>
      <c r="J227" s="188"/>
      <c r="K227" s="188"/>
      <c r="L227" s="188"/>
      <c r="M227" s="188"/>
      <c r="N227" s="188"/>
      <c r="O227" s="188"/>
      <c r="P227" s="188"/>
      <c r="Q227" s="188"/>
      <c r="R227" s="188"/>
      <c r="S227" s="188"/>
      <c r="T227" s="188"/>
      <c r="U227" s="189"/>
    </row>
    <row r="228" spans="2:21" x14ac:dyDescent="0.35">
      <c r="B228" s="186"/>
      <c r="C228" s="163"/>
      <c r="D228" s="188"/>
      <c r="E228" s="188"/>
      <c r="F228" s="188"/>
      <c r="G228" s="188"/>
      <c r="H228" s="188"/>
      <c r="I228" s="188"/>
      <c r="J228" s="188"/>
      <c r="K228" s="188"/>
      <c r="L228" s="188"/>
      <c r="M228" s="188"/>
      <c r="N228" s="188"/>
      <c r="O228" s="188"/>
      <c r="P228" s="188"/>
      <c r="Q228" s="188"/>
      <c r="R228" s="188"/>
      <c r="S228" s="188"/>
      <c r="T228" s="188"/>
      <c r="U228" s="189"/>
    </row>
    <row r="229" spans="2:21" x14ac:dyDescent="0.35">
      <c r="B229" s="186"/>
      <c r="C229" s="163"/>
      <c r="D229" s="188"/>
      <c r="E229" s="188"/>
      <c r="F229" s="188"/>
      <c r="G229" s="188"/>
      <c r="H229" s="188"/>
      <c r="I229" s="188"/>
      <c r="J229" s="188"/>
      <c r="K229" s="188"/>
      <c r="L229" s="188"/>
      <c r="M229" s="188"/>
      <c r="N229" s="188"/>
      <c r="O229" s="188"/>
      <c r="P229" s="188"/>
      <c r="Q229" s="188"/>
      <c r="R229" s="188"/>
      <c r="S229" s="188"/>
      <c r="T229" s="188"/>
      <c r="U229" s="189"/>
    </row>
    <row r="230" spans="2:21" x14ac:dyDescent="0.35">
      <c r="B230" s="186"/>
      <c r="C230" s="163"/>
      <c r="D230" s="188"/>
      <c r="E230" s="188"/>
      <c r="F230" s="188"/>
      <c r="G230" s="188"/>
      <c r="H230" s="188"/>
      <c r="I230" s="188"/>
      <c r="J230" s="188"/>
      <c r="K230" s="188"/>
      <c r="L230" s="188"/>
      <c r="M230" s="188"/>
      <c r="N230" s="188"/>
      <c r="O230" s="188"/>
      <c r="P230" s="188"/>
      <c r="Q230" s="188"/>
      <c r="R230" s="188"/>
      <c r="S230" s="188"/>
      <c r="T230" s="188"/>
      <c r="U230" s="189"/>
    </row>
    <row r="231" spans="2:21" x14ac:dyDescent="0.35">
      <c r="B231" s="186"/>
      <c r="C231" s="163"/>
      <c r="D231" s="188"/>
      <c r="E231" s="188"/>
      <c r="F231" s="188"/>
      <c r="G231" s="188"/>
      <c r="H231" s="188"/>
      <c r="I231" s="188"/>
      <c r="J231" s="188"/>
      <c r="K231" s="188"/>
      <c r="L231" s="188"/>
      <c r="M231" s="188"/>
      <c r="N231" s="188"/>
      <c r="O231" s="188"/>
      <c r="P231" s="188"/>
      <c r="Q231" s="188"/>
      <c r="R231" s="188"/>
      <c r="S231" s="188"/>
      <c r="T231" s="188"/>
      <c r="U231" s="189"/>
    </row>
    <row r="232" spans="2:21" x14ac:dyDescent="0.35">
      <c r="B232" s="186"/>
      <c r="C232" s="163"/>
      <c r="D232" s="188"/>
      <c r="E232" s="188"/>
      <c r="F232" s="188"/>
      <c r="G232" s="188"/>
      <c r="H232" s="188"/>
      <c r="I232" s="188"/>
      <c r="J232" s="188"/>
      <c r="K232" s="188"/>
      <c r="L232" s="188"/>
      <c r="M232" s="188"/>
      <c r="N232" s="188"/>
      <c r="O232" s="188"/>
      <c r="P232" s="188"/>
      <c r="Q232" s="188"/>
      <c r="R232" s="188"/>
      <c r="S232" s="188"/>
      <c r="T232" s="188"/>
      <c r="U232" s="189"/>
    </row>
    <row r="233" spans="2:21" x14ac:dyDescent="0.35">
      <c r="B233" s="186"/>
      <c r="C233" s="163"/>
      <c r="D233" s="188"/>
      <c r="E233" s="188"/>
      <c r="F233" s="188"/>
      <c r="G233" s="188"/>
      <c r="H233" s="188"/>
      <c r="I233" s="188"/>
      <c r="J233" s="188"/>
      <c r="K233" s="188"/>
      <c r="L233" s="188"/>
      <c r="M233" s="188"/>
      <c r="N233" s="188"/>
      <c r="O233" s="188"/>
      <c r="P233" s="188"/>
      <c r="Q233" s="188"/>
      <c r="R233" s="188"/>
      <c r="S233" s="188"/>
      <c r="T233" s="188"/>
      <c r="U233" s="189"/>
    </row>
    <row r="234" spans="2:21" x14ac:dyDescent="0.35">
      <c r="B234" s="186"/>
      <c r="C234" s="163"/>
      <c r="D234" s="188"/>
      <c r="E234" s="188"/>
      <c r="F234" s="188"/>
      <c r="G234" s="188"/>
      <c r="H234" s="188"/>
      <c r="I234" s="188"/>
      <c r="J234" s="188"/>
      <c r="K234" s="188"/>
      <c r="L234" s="188"/>
      <c r="M234" s="188"/>
      <c r="N234" s="188"/>
      <c r="O234" s="188"/>
      <c r="P234" s="188"/>
      <c r="Q234" s="188"/>
      <c r="R234" s="188"/>
      <c r="S234" s="188"/>
      <c r="T234" s="188"/>
      <c r="U234" s="189"/>
    </row>
    <row r="235" spans="2:21" x14ac:dyDescent="0.35">
      <c r="B235" s="186"/>
      <c r="C235" s="163"/>
      <c r="D235" s="188"/>
      <c r="E235" s="188"/>
      <c r="F235" s="188"/>
      <c r="G235" s="188"/>
      <c r="H235" s="188"/>
      <c r="I235" s="188"/>
      <c r="J235" s="188"/>
      <c r="K235" s="188"/>
      <c r="L235" s="188"/>
      <c r="M235" s="188"/>
      <c r="N235" s="188"/>
      <c r="O235" s="188"/>
      <c r="P235" s="188"/>
      <c r="Q235" s="188"/>
      <c r="R235" s="188"/>
      <c r="S235" s="188"/>
      <c r="T235" s="188"/>
      <c r="U235" s="189"/>
    </row>
    <row r="236" spans="2:21" x14ac:dyDescent="0.35">
      <c r="B236" s="186"/>
      <c r="C236" s="163"/>
      <c r="D236" s="188"/>
      <c r="E236" s="188"/>
      <c r="F236" s="188"/>
      <c r="G236" s="188"/>
      <c r="H236" s="188"/>
      <c r="I236" s="188"/>
      <c r="J236" s="188"/>
      <c r="K236" s="188"/>
      <c r="L236" s="188"/>
      <c r="M236" s="188"/>
      <c r="N236" s="188"/>
      <c r="O236" s="188"/>
      <c r="P236" s="188"/>
      <c r="Q236" s="188"/>
      <c r="R236" s="188"/>
      <c r="S236" s="188"/>
      <c r="T236" s="188"/>
      <c r="U236" s="189"/>
    </row>
    <row r="237" spans="2:21" x14ac:dyDescent="0.35">
      <c r="B237" s="186"/>
      <c r="C237" s="163"/>
      <c r="D237" s="188"/>
      <c r="E237" s="188"/>
      <c r="F237" s="188"/>
      <c r="G237" s="188"/>
      <c r="H237" s="188"/>
      <c r="I237" s="188"/>
      <c r="J237" s="188"/>
      <c r="K237" s="188"/>
      <c r="L237" s="188"/>
      <c r="M237" s="188"/>
      <c r="N237" s="188"/>
      <c r="O237" s="188"/>
      <c r="P237" s="188"/>
      <c r="Q237" s="188"/>
      <c r="R237" s="188"/>
      <c r="S237" s="188"/>
      <c r="T237" s="188"/>
      <c r="U237" s="189"/>
    </row>
    <row r="238" spans="2:21" x14ac:dyDescent="0.35">
      <c r="B238" s="186"/>
      <c r="C238" s="163"/>
      <c r="D238" s="188"/>
      <c r="E238" s="188"/>
      <c r="F238" s="188"/>
      <c r="G238" s="188"/>
      <c r="H238" s="188"/>
      <c r="I238" s="188"/>
      <c r="J238" s="188"/>
      <c r="K238" s="188"/>
      <c r="L238" s="188"/>
      <c r="M238" s="188"/>
      <c r="N238" s="188"/>
      <c r="O238" s="188"/>
      <c r="P238" s="188"/>
      <c r="Q238" s="188"/>
      <c r="R238" s="188"/>
      <c r="S238" s="188"/>
      <c r="T238" s="188"/>
      <c r="U238" s="189"/>
    </row>
    <row r="239" spans="2:21" x14ac:dyDescent="0.35">
      <c r="B239" s="186"/>
      <c r="C239" s="163"/>
      <c r="D239" s="188"/>
      <c r="E239" s="188"/>
      <c r="F239" s="188"/>
      <c r="G239" s="188"/>
      <c r="H239" s="188"/>
      <c r="I239" s="188"/>
      <c r="J239" s="188"/>
      <c r="K239" s="188"/>
      <c r="L239" s="188"/>
      <c r="M239" s="188"/>
      <c r="N239" s="188"/>
      <c r="O239" s="188"/>
      <c r="P239" s="188"/>
      <c r="Q239" s="188"/>
      <c r="R239" s="188"/>
      <c r="S239" s="188"/>
      <c r="T239" s="188"/>
      <c r="U239" s="189"/>
    </row>
    <row r="240" spans="2:21" x14ac:dyDescent="0.35">
      <c r="B240" s="186"/>
      <c r="C240" s="163"/>
      <c r="D240" s="188"/>
      <c r="E240" s="188"/>
      <c r="F240" s="188"/>
      <c r="G240" s="188"/>
      <c r="H240" s="188"/>
      <c r="I240" s="188"/>
      <c r="J240" s="188"/>
      <c r="K240" s="188"/>
      <c r="L240" s="188"/>
      <c r="M240" s="188"/>
      <c r="N240" s="188"/>
      <c r="O240" s="188"/>
      <c r="P240" s="188"/>
      <c r="Q240" s="188"/>
      <c r="R240" s="188"/>
      <c r="S240" s="188"/>
      <c r="T240" s="188"/>
      <c r="U240" s="189"/>
    </row>
    <row r="241" spans="2:21" x14ac:dyDescent="0.35">
      <c r="B241" s="186"/>
      <c r="C241" s="163"/>
      <c r="D241" s="188"/>
      <c r="E241" s="188"/>
      <c r="F241" s="188"/>
      <c r="G241" s="188"/>
      <c r="H241" s="188"/>
      <c r="I241" s="188"/>
      <c r="J241" s="188"/>
      <c r="K241" s="188"/>
      <c r="L241" s="188"/>
      <c r="M241" s="188"/>
      <c r="N241" s="188"/>
      <c r="O241" s="188"/>
      <c r="P241" s="188"/>
      <c r="Q241" s="188"/>
      <c r="R241" s="188"/>
      <c r="S241" s="188"/>
      <c r="T241" s="188"/>
      <c r="U241" s="189"/>
    </row>
    <row r="242" spans="2:21" x14ac:dyDescent="0.35">
      <c r="B242" s="186"/>
      <c r="C242" s="163"/>
      <c r="D242" s="188"/>
      <c r="E242" s="188"/>
      <c r="F242" s="188"/>
      <c r="G242" s="188"/>
      <c r="H242" s="188"/>
      <c r="I242" s="188"/>
      <c r="J242" s="188"/>
      <c r="K242" s="188"/>
      <c r="L242" s="188"/>
      <c r="M242" s="188"/>
      <c r="N242" s="188"/>
      <c r="O242" s="188"/>
      <c r="P242" s="188"/>
      <c r="Q242" s="188"/>
      <c r="R242" s="188"/>
      <c r="S242" s="188"/>
      <c r="T242" s="188"/>
      <c r="U242" s="189"/>
    </row>
    <row r="243" spans="2:21" x14ac:dyDescent="0.35">
      <c r="B243" s="186"/>
      <c r="C243" s="163"/>
      <c r="D243" s="188"/>
      <c r="E243" s="188"/>
      <c r="F243" s="188"/>
      <c r="G243" s="188"/>
      <c r="H243" s="188"/>
      <c r="I243" s="188"/>
      <c r="J243" s="188"/>
      <c r="K243" s="188"/>
      <c r="L243" s="188"/>
      <c r="M243" s="188"/>
      <c r="N243" s="188"/>
      <c r="O243" s="188"/>
      <c r="P243" s="188"/>
      <c r="Q243" s="188"/>
      <c r="R243" s="188"/>
      <c r="S243" s="188"/>
      <c r="T243" s="188"/>
      <c r="U243" s="189"/>
    </row>
    <row r="244" spans="2:21" x14ac:dyDescent="0.35">
      <c r="B244" s="186"/>
      <c r="C244" s="163"/>
      <c r="D244" s="188"/>
      <c r="E244" s="188"/>
      <c r="F244" s="188"/>
      <c r="G244" s="188"/>
      <c r="H244" s="188"/>
      <c r="I244" s="188"/>
      <c r="J244" s="188"/>
      <c r="K244" s="188"/>
      <c r="L244" s="188"/>
      <c r="M244" s="188"/>
      <c r="N244" s="188"/>
      <c r="O244" s="188"/>
      <c r="P244" s="188"/>
      <c r="Q244" s="188"/>
      <c r="R244" s="188"/>
      <c r="S244" s="188"/>
      <c r="T244" s="188"/>
      <c r="U244" s="189"/>
    </row>
    <row r="245" spans="2:21" x14ac:dyDescent="0.35">
      <c r="B245" s="186"/>
      <c r="C245" s="163"/>
      <c r="D245" s="188"/>
      <c r="E245" s="188"/>
      <c r="F245" s="188"/>
      <c r="G245" s="188"/>
      <c r="H245" s="188"/>
      <c r="I245" s="188"/>
      <c r="J245" s="188"/>
      <c r="K245" s="188"/>
      <c r="L245" s="188"/>
      <c r="M245" s="188"/>
      <c r="N245" s="188"/>
      <c r="O245" s="188"/>
      <c r="P245" s="188"/>
      <c r="Q245" s="188"/>
      <c r="R245" s="188"/>
      <c r="S245" s="188"/>
      <c r="T245" s="188"/>
      <c r="U245" s="189"/>
    </row>
    <row r="246" spans="2:21" x14ac:dyDescent="0.35">
      <c r="B246" s="186"/>
      <c r="C246" s="163"/>
      <c r="D246" s="188"/>
      <c r="E246" s="188"/>
      <c r="F246" s="188"/>
      <c r="G246" s="188"/>
      <c r="H246" s="188"/>
      <c r="I246" s="188"/>
      <c r="J246" s="188"/>
      <c r="K246" s="188"/>
      <c r="L246" s="188"/>
      <c r="M246" s="188"/>
      <c r="N246" s="188"/>
      <c r="O246" s="188"/>
      <c r="P246" s="188"/>
      <c r="Q246" s="188"/>
      <c r="R246" s="188"/>
      <c r="S246" s="188"/>
      <c r="T246" s="188"/>
      <c r="U246" s="189"/>
    </row>
    <row r="247" spans="2:21" x14ac:dyDescent="0.35">
      <c r="B247" s="186"/>
      <c r="C247" s="163"/>
      <c r="D247" s="188"/>
      <c r="E247" s="188"/>
      <c r="F247" s="188"/>
      <c r="G247" s="188"/>
      <c r="H247" s="188"/>
      <c r="I247" s="188"/>
      <c r="J247" s="188"/>
      <c r="K247" s="188"/>
      <c r="L247" s="188"/>
      <c r="M247" s="188"/>
      <c r="N247" s="188"/>
      <c r="O247" s="188"/>
      <c r="P247" s="188"/>
      <c r="Q247" s="188"/>
      <c r="R247" s="188"/>
      <c r="S247" s="188"/>
      <c r="T247" s="188"/>
      <c r="U247" s="189"/>
    </row>
    <row r="248" spans="2:21" x14ac:dyDescent="0.35">
      <c r="B248" s="186"/>
      <c r="C248" s="163"/>
      <c r="D248" s="188"/>
      <c r="E248" s="188"/>
      <c r="F248" s="188"/>
      <c r="G248" s="188"/>
      <c r="H248" s="188"/>
      <c r="I248" s="188"/>
      <c r="J248" s="188"/>
      <c r="K248" s="188"/>
      <c r="L248" s="188"/>
      <c r="M248" s="188"/>
      <c r="N248" s="188"/>
      <c r="O248" s="188"/>
      <c r="P248" s="188"/>
      <c r="Q248" s="188"/>
      <c r="R248" s="188"/>
      <c r="S248" s="188"/>
      <c r="T248" s="188"/>
      <c r="U248" s="189"/>
    </row>
    <row r="249" spans="2:21" x14ac:dyDescent="0.35">
      <c r="B249" s="186"/>
      <c r="C249" s="163"/>
      <c r="D249" s="188"/>
      <c r="E249" s="188"/>
      <c r="F249" s="188"/>
      <c r="G249" s="188"/>
      <c r="H249" s="188"/>
      <c r="I249" s="188"/>
      <c r="J249" s="188"/>
      <c r="K249" s="188"/>
      <c r="L249" s="188"/>
      <c r="M249" s="188"/>
      <c r="N249" s="188"/>
      <c r="O249" s="188"/>
      <c r="P249" s="188"/>
      <c r="Q249" s="188"/>
      <c r="R249" s="188"/>
      <c r="S249" s="188"/>
      <c r="T249" s="188"/>
      <c r="U249" s="189"/>
    </row>
    <row r="250" spans="2:21" x14ac:dyDescent="0.35">
      <c r="B250" s="186"/>
      <c r="C250" s="163"/>
      <c r="D250" s="188"/>
      <c r="E250" s="188"/>
      <c r="F250" s="188"/>
      <c r="G250" s="188"/>
      <c r="H250" s="188"/>
      <c r="I250" s="188"/>
      <c r="J250" s="188"/>
      <c r="K250" s="188"/>
      <c r="L250" s="188"/>
      <c r="M250" s="188"/>
      <c r="N250" s="188"/>
      <c r="O250" s="188"/>
      <c r="P250" s="188"/>
      <c r="Q250" s="188"/>
      <c r="R250" s="188"/>
      <c r="S250" s="188"/>
      <c r="T250" s="188"/>
      <c r="U250" s="189"/>
    </row>
    <row r="251" spans="2:21" x14ac:dyDescent="0.35">
      <c r="B251" s="186"/>
      <c r="C251" s="163"/>
      <c r="D251" s="188"/>
      <c r="E251" s="188"/>
      <c r="F251" s="188"/>
      <c r="G251" s="188"/>
      <c r="H251" s="188"/>
      <c r="I251" s="188"/>
      <c r="J251" s="188"/>
      <c r="K251" s="188"/>
      <c r="L251" s="188"/>
      <c r="M251" s="188"/>
      <c r="N251" s="188"/>
      <c r="O251" s="188"/>
      <c r="P251" s="188"/>
      <c r="Q251" s="188"/>
      <c r="R251" s="188"/>
      <c r="S251" s="188"/>
      <c r="T251" s="188"/>
      <c r="U251" s="189"/>
    </row>
    <row r="252" spans="2:21" x14ac:dyDescent="0.35">
      <c r="B252" s="186"/>
      <c r="C252" s="163"/>
      <c r="D252" s="188"/>
      <c r="E252" s="188"/>
      <c r="F252" s="188"/>
      <c r="G252" s="188"/>
      <c r="H252" s="188"/>
      <c r="I252" s="188"/>
      <c r="J252" s="188"/>
      <c r="K252" s="188"/>
      <c r="L252" s="188"/>
      <c r="M252" s="188"/>
      <c r="N252" s="188"/>
      <c r="O252" s="188"/>
      <c r="P252" s="188"/>
      <c r="Q252" s="188"/>
      <c r="R252" s="188"/>
      <c r="S252" s="188"/>
      <c r="T252" s="188"/>
      <c r="U252" s="189"/>
    </row>
    <row r="253" spans="2:21" x14ac:dyDescent="0.35">
      <c r="B253" s="186"/>
      <c r="C253" s="163"/>
      <c r="D253" s="188"/>
      <c r="E253" s="188"/>
      <c r="F253" s="188"/>
      <c r="G253" s="188"/>
      <c r="H253" s="188"/>
      <c r="I253" s="188"/>
      <c r="J253" s="188"/>
      <c r="K253" s="188"/>
      <c r="L253" s="188"/>
      <c r="M253" s="188"/>
      <c r="N253" s="188"/>
      <c r="O253" s="188"/>
      <c r="P253" s="188"/>
      <c r="Q253" s="188"/>
      <c r="R253" s="188"/>
      <c r="S253" s="188"/>
      <c r="T253" s="188"/>
      <c r="U253" s="189"/>
    </row>
    <row r="254" spans="2:21" x14ac:dyDescent="0.35">
      <c r="B254" s="186"/>
      <c r="C254" s="163"/>
      <c r="D254" s="188"/>
      <c r="E254" s="188"/>
      <c r="F254" s="188"/>
      <c r="G254" s="188"/>
      <c r="H254" s="188"/>
      <c r="I254" s="188"/>
      <c r="J254" s="188"/>
      <c r="K254" s="188"/>
      <c r="L254" s="188"/>
      <c r="M254" s="188"/>
      <c r="N254" s="188"/>
      <c r="O254" s="188"/>
      <c r="P254" s="188"/>
      <c r="Q254" s="188"/>
      <c r="R254" s="188"/>
      <c r="S254" s="188"/>
      <c r="T254" s="188"/>
      <c r="U254" s="189"/>
    </row>
    <row r="255" spans="2:21" x14ac:dyDescent="0.35">
      <c r="B255" s="186"/>
      <c r="C255" s="163"/>
      <c r="D255" s="188"/>
      <c r="E255" s="188"/>
      <c r="F255" s="188"/>
      <c r="G255" s="188"/>
      <c r="H255" s="188"/>
      <c r="I255" s="188"/>
      <c r="J255" s="188"/>
      <c r="K255" s="188"/>
      <c r="L255" s="188"/>
      <c r="M255" s="188"/>
      <c r="N255" s="188"/>
      <c r="O255" s="188"/>
      <c r="P255" s="188"/>
      <c r="Q255" s="188"/>
      <c r="R255" s="188"/>
      <c r="S255" s="188"/>
      <c r="T255" s="188"/>
      <c r="U255" s="189"/>
    </row>
    <row r="256" spans="2:21" x14ac:dyDescent="0.35">
      <c r="B256" s="186"/>
      <c r="C256" s="163"/>
      <c r="D256" s="188"/>
      <c r="E256" s="188"/>
      <c r="F256" s="188"/>
      <c r="G256" s="188"/>
      <c r="H256" s="188"/>
      <c r="I256" s="188"/>
      <c r="J256" s="188"/>
      <c r="K256" s="188"/>
      <c r="L256" s="188"/>
      <c r="M256" s="188"/>
      <c r="N256" s="188"/>
      <c r="O256" s="188"/>
      <c r="P256" s="188"/>
      <c r="Q256" s="188"/>
      <c r="R256" s="188"/>
      <c r="S256" s="188"/>
      <c r="T256" s="188"/>
      <c r="U256" s="189"/>
    </row>
    <row r="257" spans="2:21" x14ac:dyDescent="0.35">
      <c r="B257" s="186"/>
      <c r="C257" s="163"/>
      <c r="D257" s="188"/>
      <c r="E257" s="188"/>
      <c r="F257" s="188"/>
      <c r="G257" s="188"/>
      <c r="H257" s="188"/>
      <c r="I257" s="188"/>
      <c r="J257" s="188"/>
      <c r="K257" s="188"/>
      <c r="L257" s="188"/>
      <c r="M257" s="188"/>
      <c r="N257" s="188"/>
      <c r="O257" s="188"/>
      <c r="P257" s="188"/>
      <c r="Q257" s="188"/>
      <c r="R257" s="188"/>
      <c r="S257" s="188"/>
      <c r="T257" s="188"/>
      <c r="U257" s="189"/>
    </row>
    <row r="258" spans="2:21" x14ac:dyDescent="0.35">
      <c r="B258" s="186"/>
      <c r="C258" s="163"/>
      <c r="D258" s="188"/>
      <c r="E258" s="188"/>
      <c r="F258" s="188"/>
      <c r="G258" s="188"/>
      <c r="H258" s="188"/>
      <c r="I258" s="188"/>
      <c r="J258" s="188"/>
      <c r="K258" s="188"/>
      <c r="L258" s="188"/>
      <c r="M258" s="188"/>
      <c r="N258" s="188"/>
      <c r="O258" s="188"/>
      <c r="P258" s="188"/>
      <c r="Q258" s="188"/>
      <c r="R258" s="188"/>
      <c r="S258" s="188"/>
      <c r="T258" s="188"/>
      <c r="U258" s="189"/>
    </row>
    <row r="259" spans="2:21" x14ac:dyDescent="0.35">
      <c r="B259" s="186"/>
      <c r="C259" s="163"/>
      <c r="D259" s="188"/>
      <c r="E259" s="188"/>
      <c r="F259" s="188"/>
      <c r="G259" s="188"/>
      <c r="H259" s="188"/>
      <c r="I259" s="188"/>
      <c r="J259" s="188"/>
      <c r="K259" s="188"/>
      <c r="L259" s="188"/>
      <c r="M259" s="188"/>
      <c r="N259" s="188"/>
      <c r="O259" s="188"/>
      <c r="P259" s="188"/>
      <c r="Q259" s="188"/>
      <c r="R259" s="188"/>
      <c r="S259" s="188"/>
      <c r="T259" s="188"/>
      <c r="U259" s="189"/>
    </row>
    <row r="260" spans="2:21" x14ac:dyDescent="0.35">
      <c r="B260" s="186"/>
      <c r="C260" s="163"/>
      <c r="D260" s="188"/>
      <c r="E260" s="188"/>
      <c r="F260" s="188"/>
      <c r="G260" s="188"/>
      <c r="H260" s="188"/>
      <c r="I260" s="188"/>
      <c r="J260" s="188"/>
      <c r="K260" s="188"/>
      <c r="L260" s="188"/>
      <c r="M260" s="188"/>
      <c r="N260" s="188"/>
      <c r="O260" s="188"/>
      <c r="P260" s="188"/>
      <c r="Q260" s="188"/>
      <c r="R260" s="188"/>
      <c r="S260" s="188"/>
      <c r="T260" s="188"/>
      <c r="U260" s="189"/>
    </row>
    <row r="261" spans="2:21" x14ac:dyDescent="0.35">
      <c r="B261" s="186"/>
      <c r="C261" s="163"/>
      <c r="D261" s="188"/>
      <c r="E261" s="188"/>
      <c r="F261" s="188"/>
      <c r="G261" s="188"/>
      <c r="H261" s="188"/>
      <c r="I261" s="188"/>
      <c r="J261" s="188"/>
      <c r="K261" s="188"/>
      <c r="L261" s="188"/>
      <c r="M261" s="188"/>
      <c r="N261" s="188"/>
      <c r="O261" s="188"/>
      <c r="P261" s="188"/>
      <c r="Q261" s="188"/>
      <c r="R261" s="188"/>
      <c r="S261" s="188"/>
      <c r="T261" s="188"/>
      <c r="U261" s="189"/>
    </row>
    <row r="262" spans="2:21" x14ac:dyDescent="0.35">
      <c r="B262" s="186"/>
      <c r="C262" s="163"/>
      <c r="D262" s="188"/>
      <c r="E262" s="188"/>
      <c r="F262" s="188"/>
      <c r="G262" s="188"/>
      <c r="H262" s="188"/>
      <c r="I262" s="188"/>
      <c r="J262" s="188"/>
      <c r="K262" s="188"/>
      <c r="L262" s="188"/>
      <c r="M262" s="188"/>
      <c r="N262" s="188"/>
      <c r="O262" s="188"/>
      <c r="P262" s="188"/>
      <c r="Q262" s="188"/>
      <c r="R262" s="188"/>
      <c r="S262" s="188"/>
      <c r="T262" s="188"/>
      <c r="U262" s="189"/>
    </row>
    <row r="263" spans="2:21" x14ac:dyDescent="0.35">
      <c r="B263" s="186"/>
      <c r="C263" s="163"/>
      <c r="D263" s="188"/>
      <c r="E263" s="188"/>
      <c r="F263" s="188"/>
      <c r="G263" s="188"/>
      <c r="H263" s="188"/>
      <c r="I263" s="188"/>
      <c r="J263" s="188"/>
      <c r="K263" s="188"/>
      <c r="L263" s="188"/>
      <c r="M263" s="188"/>
      <c r="N263" s="188"/>
      <c r="O263" s="188"/>
      <c r="P263" s="188"/>
      <c r="Q263" s="188"/>
      <c r="R263" s="188"/>
      <c r="S263" s="188"/>
      <c r="T263" s="188"/>
      <c r="U263" s="189"/>
    </row>
    <row r="264" spans="2:21" x14ac:dyDescent="0.35">
      <c r="B264" s="186"/>
      <c r="C264" s="163"/>
      <c r="D264" s="188"/>
      <c r="E264" s="188"/>
      <c r="F264" s="188"/>
      <c r="G264" s="188"/>
      <c r="H264" s="188"/>
      <c r="I264" s="188"/>
      <c r="J264" s="188"/>
      <c r="K264" s="188"/>
      <c r="L264" s="188"/>
      <c r="M264" s="188"/>
      <c r="N264" s="188"/>
      <c r="O264" s="188"/>
      <c r="P264" s="188"/>
      <c r="Q264" s="188"/>
      <c r="R264" s="188"/>
      <c r="S264" s="188"/>
      <c r="T264" s="188"/>
      <c r="U264" s="189"/>
    </row>
    <row r="265" spans="2:21" x14ac:dyDescent="0.35">
      <c r="B265" s="186"/>
      <c r="C265" s="163"/>
      <c r="D265" s="188"/>
      <c r="E265" s="188"/>
      <c r="F265" s="188"/>
      <c r="G265" s="188"/>
      <c r="H265" s="188"/>
      <c r="I265" s="188"/>
      <c r="J265" s="188"/>
      <c r="K265" s="188"/>
      <c r="L265" s="188"/>
      <c r="M265" s="188"/>
      <c r="N265" s="188"/>
      <c r="O265" s="188"/>
      <c r="P265" s="188"/>
      <c r="Q265" s="188"/>
      <c r="R265" s="188"/>
      <c r="S265" s="188"/>
      <c r="T265" s="188"/>
      <c r="U265" s="189"/>
    </row>
    <row r="266" spans="2:21" x14ac:dyDescent="0.35">
      <c r="B266" s="186"/>
      <c r="C266" s="163"/>
      <c r="D266" s="188"/>
      <c r="E266" s="188"/>
      <c r="F266" s="188"/>
      <c r="G266" s="188"/>
      <c r="H266" s="188"/>
      <c r="I266" s="188"/>
      <c r="J266" s="188"/>
      <c r="K266" s="188"/>
      <c r="L266" s="188"/>
      <c r="M266" s="188"/>
      <c r="N266" s="188"/>
      <c r="O266" s="188"/>
      <c r="P266" s="188"/>
      <c r="Q266" s="188"/>
      <c r="R266" s="188"/>
      <c r="S266" s="188"/>
      <c r="T266" s="188"/>
      <c r="U266" s="189"/>
    </row>
    <row r="267" spans="2:21" x14ac:dyDescent="0.35">
      <c r="B267" s="186"/>
      <c r="C267" s="163"/>
      <c r="D267" s="188"/>
      <c r="E267" s="188"/>
      <c r="F267" s="188"/>
      <c r="G267" s="188"/>
      <c r="H267" s="188"/>
      <c r="I267" s="188"/>
      <c r="J267" s="188"/>
      <c r="K267" s="188"/>
      <c r="L267" s="188"/>
      <c r="M267" s="188"/>
      <c r="N267" s="188"/>
      <c r="O267" s="188"/>
      <c r="P267" s="188"/>
      <c r="Q267" s="188"/>
      <c r="R267" s="188"/>
      <c r="S267" s="188"/>
      <c r="T267" s="188"/>
      <c r="U267" s="189"/>
    </row>
    <row r="268" spans="2:21" x14ac:dyDescent="0.35">
      <c r="B268" s="186"/>
      <c r="C268" s="163"/>
      <c r="D268" s="188"/>
      <c r="E268" s="188"/>
      <c r="F268" s="188"/>
      <c r="G268" s="188"/>
      <c r="H268" s="188"/>
      <c r="I268" s="188"/>
      <c r="J268" s="188"/>
      <c r="K268" s="188"/>
      <c r="L268" s="188"/>
      <c r="M268" s="188"/>
      <c r="N268" s="188"/>
      <c r="O268" s="188"/>
      <c r="P268" s="188"/>
      <c r="Q268" s="188"/>
      <c r="R268" s="188"/>
      <c r="S268" s="188"/>
      <c r="T268" s="188"/>
      <c r="U268" s="189"/>
    </row>
    <row r="269" spans="2:21" x14ac:dyDescent="0.35">
      <c r="B269" s="186"/>
      <c r="C269" s="163"/>
      <c r="D269" s="188"/>
      <c r="E269" s="188"/>
      <c r="F269" s="188"/>
      <c r="G269" s="188"/>
      <c r="H269" s="188"/>
      <c r="I269" s="188"/>
      <c r="J269" s="188"/>
      <c r="K269" s="188"/>
      <c r="L269" s="188"/>
      <c r="M269" s="188"/>
      <c r="N269" s="188"/>
      <c r="O269" s="188"/>
      <c r="P269" s="188"/>
      <c r="Q269" s="188"/>
      <c r="R269" s="188"/>
      <c r="S269" s="188"/>
      <c r="T269" s="188"/>
      <c r="U269" s="189"/>
    </row>
    <row r="270" spans="2:21" x14ac:dyDescent="0.35">
      <c r="B270" s="186"/>
      <c r="C270" s="163"/>
      <c r="D270" s="188"/>
      <c r="E270" s="188"/>
      <c r="F270" s="188"/>
      <c r="G270" s="188"/>
      <c r="H270" s="188"/>
      <c r="I270" s="188"/>
      <c r="J270" s="188"/>
      <c r="K270" s="188"/>
      <c r="L270" s="188"/>
      <c r="M270" s="188"/>
      <c r="N270" s="188"/>
      <c r="O270" s="188"/>
      <c r="P270" s="188"/>
      <c r="Q270" s="188"/>
      <c r="R270" s="188"/>
      <c r="S270" s="188"/>
      <c r="T270" s="188"/>
      <c r="U270" s="189"/>
    </row>
    <row r="271" spans="2:21" x14ac:dyDescent="0.35">
      <c r="B271" s="186"/>
      <c r="C271" s="163"/>
      <c r="D271" s="188"/>
      <c r="E271" s="188"/>
      <c r="F271" s="188"/>
      <c r="G271" s="188"/>
      <c r="H271" s="188"/>
      <c r="I271" s="188"/>
      <c r="J271" s="188"/>
      <c r="K271" s="188"/>
      <c r="L271" s="188"/>
      <c r="M271" s="188"/>
      <c r="N271" s="188"/>
      <c r="O271" s="188"/>
      <c r="P271" s="188"/>
      <c r="Q271" s="188"/>
      <c r="R271" s="188"/>
      <c r="S271" s="188"/>
      <c r="T271" s="188"/>
      <c r="U271" s="189"/>
    </row>
    <row r="272" spans="2:21" x14ac:dyDescent="0.35">
      <c r="B272" s="186"/>
      <c r="C272" s="163"/>
      <c r="D272" s="188"/>
      <c r="E272" s="188"/>
      <c r="F272" s="188"/>
      <c r="G272" s="188"/>
      <c r="H272" s="188"/>
      <c r="I272" s="188"/>
      <c r="J272" s="188"/>
      <c r="K272" s="188"/>
      <c r="L272" s="188"/>
      <c r="M272" s="188"/>
      <c r="N272" s="188"/>
      <c r="O272" s="188"/>
      <c r="P272" s="188"/>
      <c r="Q272" s="188"/>
      <c r="R272" s="188"/>
      <c r="S272" s="188"/>
      <c r="T272" s="188"/>
      <c r="U272" s="189"/>
    </row>
    <row r="273" spans="2:21" x14ac:dyDescent="0.35">
      <c r="B273" s="186"/>
      <c r="C273" s="163"/>
      <c r="D273" s="188"/>
      <c r="E273" s="188"/>
      <c r="F273" s="188"/>
      <c r="G273" s="188"/>
      <c r="H273" s="188"/>
      <c r="I273" s="188"/>
      <c r="J273" s="188"/>
      <c r="K273" s="188"/>
      <c r="L273" s="188"/>
      <c r="M273" s="188"/>
      <c r="N273" s="188"/>
      <c r="O273" s="188"/>
      <c r="P273" s="188"/>
      <c r="Q273" s="188"/>
      <c r="R273" s="188"/>
      <c r="S273" s="188"/>
      <c r="T273" s="188"/>
      <c r="U273" s="189"/>
    </row>
    <row r="274" spans="2:21" x14ac:dyDescent="0.35">
      <c r="B274" s="186"/>
      <c r="C274" s="163"/>
      <c r="D274" s="188"/>
      <c r="E274" s="188"/>
      <c r="F274" s="188"/>
      <c r="G274" s="188"/>
      <c r="H274" s="188"/>
      <c r="I274" s="188"/>
      <c r="J274" s="188"/>
      <c r="K274" s="188"/>
      <c r="L274" s="188"/>
      <c r="M274" s="188"/>
      <c r="N274" s="188"/>
      <c r="O274" s="188"/>
      <c r="P274" s="188"/>
      <c r="Q274" s="188"/>
      <c r="R274" s="188"/>
      <c r="S274" s="188"/>
      <c r="T274" s="188"/>
      <c r="U274" s="189"/>
    </row>
    <row r="275" spans="2:21" x14ac:dyDescent="0.35">
      <c r="B275" s="186"/>
      <c r="C275" s="163"/>
      <c r="D275" s="188"/>
      <c r="E275" s="188"/>
      <c r="F275" s="188"/>
      <c r="G275" s="188"/>
      <c r="H275" s="188"/>
      <c r="I275" s="188"/>
      <c r="J275" s="188"/>
      <c r="K275" s="188"/>
      <c r="L275" s="188"/>
      <c r="M275" s="188"/>
      <c r="N275" s="188"/>
      <c r="O275" s="188"/>
      <c r="P275" s="188"/>
      <c r="Q275" s="188"/>
      <c r="R275" s="188"/>
      <c r="S275" s="188"/>
      <c r="T275" s="188"/>
      <c r="U275" s="189"/>
    </row>
    <row r="276" spans="2:21" x14ac:dyDescent="0.35">
      <c r="B276" s="186"/>
      <c r="C276" s="163"/>
      <c r="D276" s="188"/>
      <c r="E276" s="188"/>
      <c r="F276" s="188"/>
      <c r="G276" s="188"/>
      <c r="H276" s="188"/>
      <c r="I276" s="188"/>
      <c r="J276" s="188"/>
      <c r="K276" s="188"/>
      <c r="L276" s="188"/>
      <c r="M276" s="188"/>
      <c r="N276" s="188"/>
      <c r="O276" s="188"/>
      <c r="P276" s="188"/>
      <c r="Q276" s="188"/>
      <c r="R276" s="188"/>
      <c r="S276" s="188"/>
      <c r="T276" s="188"/>
      <c r="U276" s="189"/>
    </row>
    <row r="277" spans="2:21" x14ac:dyDescent="0.35">
      <c r="B277" s="186"/>
      <c r="C277" s="163"/>
      <c r="D277" s="188"/>
      <c r="E277" s="188"/>
      <c r="F277" s="188"/>
      <c r="G277" s="188"/>
      <c r="H277" s="188"/>
      <c r="I277" s="188"/>
      <c r="J277" s="188"/>
      <c r="K277" s="188"/>
      <c r="L277" s="188"/>
      <c r="M277" s="188"/>
      <c r="N277" s="188"/>
      <c r="O277" s="188"/>
      <c r="P277" s="188"/>
      <c r="Q277" s="188"/>
      <c r="R277" s="188"/>
      <c r="S277" s="188"/>
      <c r="T277" s="188"/>
      <c r="U277" s="189"/>
    </row>
    <row r="278" spans="2:21" x14ac:dyDescent="0.35">
      <c r="B278" s="186"/>
      <c r="C278" s="163"/>
      <c r="D278" s="188"/>
      <c r="E278" s="188"/>
      <c r="F278" s="188"/>
      <c r="G278" s="188"/>
      <c r="H278" s="188"/>
      <c r="I278" s="188"/>
      <c r="J278" s="188"/>
      <c r="K278" s="188"/>
      <c r="L278" s="188"/>
      <c r="M278" s="188"/>
      <c r="N278" s="188"/>
      <c r="O278" s="188"/>
      <c r="P278" s="188"/>
      <c r="Q278" s="188"/>
      <c r="R278" s="188"/>
      <c r="S278" s="188"/>
      <c r="T278" s="188"/>
      <c r="U278" s="189"/>
    </row>
    <row r="279" spans="2:21" x14ac:dyDescent="0.35">
      <c r="B279" s="186"/>
      <c r="C279" s="163"/>
      <c r="D279" s="188"/>
      <c r="E279" s="188"/>
      <c r="F279" s="188"/>
      <c r="G279" s="188"/>
      <c r="H279" s="188"/>
      <c r="I279" s="188"/>
      <c r="J279" s="188"/>
      <c r="K279" s="188"/>
      <c r="L279" s="188"/>
      <c r="M279" s="188"/>
      <c r="N279" s="188"/>
      <c r="O279" s="188"/>
      <c r="P279" s="188"/>
      <c r="Q279" s="188"/>
      <c r="R279" s="188"/>
      <c r="S279" s="188"/>
      <c r="T279" s="188"/>
      <c r="U279" s="189"/>
    </row>
    <row r="280" spans="2:21" x14ac:dyDescent="0.35">
      <c r="B280" s="186"/>
      <c r="C280" s="163"/>
      <c r="D280" s="188"/>
      <c r="E280" s="188"/>
      <c r="F280" s="188"/>
      <c r="G280" s="188"/>
      <c r="H280" s="188"/>
      <c r="I280" s="188"/>
      <c r="J280" s="188"/>
      <c r="K280" s="188"/>
      <c r="L280" s="188"/>
      <c r="M280" s="188"/>
      <c r="N280" s="188"/>
      <c r="O280" s="188"/>
      <c r="P280" s="188"/>
      <c r="Q280" s="188"/>
      <c r="R280" s="188"/>
      <c r="S280" s="188"/>
      <c r="T280" s="188"/>
      <c r="U280" s="189"/>
    </row>
    <row r="281" spans="2:21" x14ac:dyDescent="0.35">
      <c r="B281" s="186"/>
      <c r="C281" s="163"/>
      <c r="D281" s="188"/>
      <c r="E281" s="188"/>
      <c r="F281" s="188"/>
      <c r="G281" s="188"/>
      <c r="H281" s="188"/>
      <c r="I281" s="188"/>
      <c r="J281" s="188"/>
      <c r="K281" s="188"/>
      <c r="L281" s="188"/>
      <c r="M281" s="188"/>
      <c r="N281" s="188"/>
      <c r="O281" s="188"/>
      <c r="P281" s="188"/>
      <c r="Q281" s="188"/>
      <c r="R281" s="188"/>
      <c r="S281" s="188"/>
      <c r="T281" s="188"/>
      <c r="U281" s="189"/>
    </row>
    <row r="282" spans="2:21" x14ac:dyDescent="0.35">
      <c r="B282" s="186"/>
      <c r="C282" s="163"/>
      <c r="D282" s="188"/>
      <c r="E282" s="188"/>
      <c r="F282" s="188"/>
      <c r="G282" s="188"/>
      <c r="H282" s="188"/>
      <c r="I282" s="188"/>
      <c r="J282" s="188"/>
      <c r="K282" s="188"/>
      <c r="L282" s="188"/>
      <c r="M282" s="188"/>
      <c r="N282" s="188"/>
      <c r="O282" s="188"/>
      <c r="P282" s="188"/>
      <c r="Q282" s="188"/>
      <c r="R282" s="188"/>
      <c r="S282" s="188"/>
      <c r="T282" s="188"/>
      <c r="U282" s="189"/>
    </row>
    <row r="283" spans="2:21" x14ac:dyDescent="0.35">
      <c r="B283" s="186"/>
      <c r="C283" s="163"/>
      <c r="D283" s="188"/>
      <c r="E283" s="188"/>
      <c r="F283" s="188"/>
      <c r="G283" s="188"/>
      <c r="H283" s="188"/>
      <c r="I283" s="188"/>
      <c r="J283" s="188"/>
      <c r="K283" s="188"/>
      <c r="L283" s="188"/>
      <c r="M283" s="188"/>
      <c r="N283" s="188"/>
      <c r="O283" s="188"/>
      <c r="P283" s="188"/>
      <c r="Q283" s="188"/>
      <c r="R283" s="188"/>
      <c r="S283" s="188"/>
      <c r="T283" s="188"/>
      <c r="U283" s="189"/>
    </row>
    <row r="284" spans="2:21" x14ac:dyDescent="0.35">
      <c r="B284" s="186"/>
      <c r="C284" s="163"/>
      <c r="D284" s="188"/>
      <c r="E284" s="188"/>
      <c r="F284" s="188"/>
      <c r="G284" s="188"/>
      <c r="H284" s="188"/>
      <c r="I284" s="188"/>
      <c r="J284" s="188"/>
      <c r="K284" s="188"/>
      <c r="L284" s="188"/>
      <c r="M284" s="188"/>
      <c r="N284" s="188"/>
      <c r="O284" s="188"/>
      <c r="P284" s="188"/>
      <c r="Q284" s="188"/>
      <c r="R284" s="188"/>
      <c r="S284" s="188"/>
      <c r="T284" s="188"/>
      <c r="U284" s="189"/>
    </row>
    <row r="285" spans="2:21" x14ac:dyDescent="0.35">
      <c r="B285" s="186"/>
      <c r="C285" s="163"/>
      <c r="D285" s="188"/>
      <c r="E285" s="188"/>
      <c r="F285" s="188"/>
      <c r="G285" s="188"/>
      <c r="H285" s="188"/>
      <c r="I285" s="188"/>
      <c r="J285" s="188"/>
      <c r="K285" s="188"/>
      <c r="L285" s="188"/>
      <c r="M285" s="188"/>
      <c r="N285" s="188"/>
      <c r="O285" s="188"/>
      <c r="P285" s="188"/>
      <c r="Q285" s="188"/>
      <c r="R285" s="188"/>
      <c r="S285" s="188"/>
      <c r="T285" s="188"/>
      <c r="U285" s="189"/>
    </row>
    <row r="286" spans="2:21" x14ac:dyDescent="0.35">
      <c r="B286" s="186"/>
      <c r="C286" s="163"/>
      <c r="D286" s="188"/>
      <c r="E286" s="188"/>
      <c r="F286" s="188"/>
      <c r="G286" s="188"/>
      <c r="H286" s="188"/>
      <c r="I286" s="188"/>
      <c r="J286" s="188"/>
      <c r="K286" s="188"/>
      <c r="L286" s="188"/>
      <c r="M286" s="188"/>
      <c r="N286" s="188"/>
      <c r="O286" s="188"/>
      <c r="P286" s="188"/>
      <c r="Q286" s="188"/>
      <c r="R286" s="188"/>
      <c r="S286" s="188"/>
      <c r="T286" s="188"/>
      <c r="U286" s="189"/>
    </row>
    <row r="287" spans="2:21" x14ac:dyDescent="0.35">
      <c r="B287" s="186"/>
      <c r="C287" s="163"/>
      <c r="D287" s="188"/>
      <c r="E287" s="188"/>
      <c r="F287" s="188"/>
      <c r="G287" s="188"/>
      <c r="H287" s="188"/>
      <c r="I287" s="188"/>
      <c r="J287" s="188"/>
      <c r="K287" s="188"/>
      <c r="L287" s="188"/>
      <c r="M287" s="188"/>
      <c r="N287" s="188"/>
      <c r="O287" s="188"/>
      <c r="P287" s="188"/>
      <c r="Q287" s="188"/>
      <c r="R287" s="188"/>
      <c r="S287" s="188"/>
      <c r="T287" s="188"/>
      <c r="U287" s="189"/>
    </row>
    <row r="288" spans="2:21" x14ac:dyDescent="0.35">
      <c r="B288" s="186"/>
      <c r="C288" s="163"/>
      <c r="D288" s="188"/>
      <c r="E288" s="188"/>
      <c r="F288" s="188"/>
      <c r="G288" s="188"/>
      <c r="H288" s="188"/>
      <c r="I288" s="188"/>
      <c r="J288" s="188"/>
      <c r="K288" s="188"/>
      <c r="L288" s="188"/>
      <c r="M288" s="188"/>
      <c r="N288" s="188"/>
      <c r="O288" s="188"/>
      <c r="P288" s="188"/>
      <c r="Q288" s="188"/>
      <c r="R288" s="188"/>
      <c r="S288" s="188"/>
      <c r="T288" s="188"/>
      <c r="U288" s="189"/>
    </row>
    <row r="289" spans="2:21" x14ac:dyDescent="0.35">
      <c r="B289" s="186"/>
      <c r="C289" s="163"/>
      <c r="D289" s="188"/>
      <c r="E289" s="188"/>
      <c r="F289" s="188"/>
      <c r="G289" s="188"/>
      <c r="H289" s="188"/>
      <c r="I289" s="188"/>
      <c r="J289" s="188"/>
      <c r="K289" s="188"/>
      <c r="L289" s="188"/>
      <c r="M289" s="188"/>
      <c r="N289" s="188"/>
      <c r="O289" s="188"/>
      <c r="P289" s="188"/>
      <c r="Q289" s="188"/>
      <c r="R289" s="188"/>
      <c r="S289" s="188"/>
      <c r="T289" s="188"/>
      <c r="U289" s="189"/>
    </row>
    <row r="290" spans="2:21" x14ac:dyDescent="0.35">
      <c r="B290" s="186"/>
      <c r="C290" s="163"/>
      <c r="D290" s="188"/>
      <c r="E290" s="188"/>
      <c r="F290" s="188"/>
      <c r="G290" s="188"/>
      <c r="H290" s="188"/>
      <c r="I290" s="188"/>
      <c r="J290" s="188"/>
      <c r="K290" s="188"/>
      <c r="L290" s="188"/>
      <c r="M290" s="188"/>
      <c r="N290" s="188"/>
      <c r="O290" s="188"/>
      <c r="P290" s="188"/>
      <c r="Q290" s="188"/>
      <c r="R290" s="188"/>
      <c r="S290" s="188"/>
      <c r="T290" s="188"/>
      <c r="U290" s="189"/>
    </row>
    <row r="291" spans="2:21" x14ac:dyDescent="0.35">
      <c r="B291" s="186"/>
      <c r="C291" s="163"/>
      <c r="D291" s="188"/>
      <c r="E291" s="188"/>
      <c r="F291" s="188"/>
      <c r="G291" s="188"/>
      <c r="H291" s="188"/>
      <c r="I291" s="188"/>
      <c r="J291" s="188"/>
      <c r="K291" s="188"/>
      <c r="L291" s="188"/>
      <c r="M291" s="188"/>
      <c r="N291" s="188"/>
      <c r="O291" s="188"/>
      <c r="P291" s="188"/>
      <c r="Q291" s="188"/>
      <c r="R291" s="188"/>
      <c r="S291" s="188"/>
      <c r="T291" s="188"/>
      <c r="U291" s="189"/>
    </row>
    <row r="292" spans="2:21" x14ac:dyDescent="0.35">
      <c r="B292" s="186"/>
      <c r="C292" s="163"/>
      <c r="D292" s="188"/>
      <c r="E292" s="188"/>
      <c r="F292" s="188"/>
      <c r="G292" s="188"/>
      <c r="H292" s="188"/>
      <c r="I292" s="188"/>
      <c r="J292" s="188"/>
      <c r="K292" s="188"/>
      <c r="L292" s="188"/>
      <c r="M292" s="188"/>
      <c r="N292" s="188"/>
      <c r="O292" s="188"/>
      <c r="P292" s="188"/>
      <c r="Q292" s="188"/>
      <c r="R292" s="188"/>
      <c r="S292" s="188"/>
      <c r="T292" s="188"/>
      <c r="U292" s="189"/>
    </row>
    <row r="293" spans="2:21" x14ac:dyDescent="0.35">
      <c r="B293" s="186"/>
      <c r="C293" s="163"/>
      <c r="D293" s="188"/>
      <c r="E293" s="188"/>
      <c r="F293" s="188"/>
      <c r="G293" s="188"/>
      <c r="H293" s="188"/>
      <c r="I293" s="188"/>
      <c r="J293" s="188"/>
      <c r="K293" s="188"/>
      <c r="L293" s="188"/>
      <c r="M293" s="188"/>
      <c r="N293" s="188"/>
      <c r="O293" s="188"/>
      <c r="P293" s="188"/>
      <c r="Q293" s="188"/>
      <c r="R293" s="188"/>
      <c r="S293" s="188"/>
      <c r="T293" s="188"/>
      <c r="U293" s="189"/>
    </row>
    <row r="294" spans="2:21" x14ac:dyDescent="0.35">
      <c r="B294" s="186"/>
      <c r="C294" s="163"/>
      <c r="D294" s="188"/>
      <c r="E294" s="188"/>
      <c r="F294" s="188"/>
      <c r="G294" s="188"/>
      <c r="H294" s="188"/>
      <c r="I294" s="188"/>
      <c r="J294" s="188"/>
      <c r="K294" s="188"/>
      <c r="L294" s="188"/>
      <c r="M294" s="188"/>
      <c r="N294" s="188"/>
      <c r="O294" s="188"/>
      <c r="P294" s="188"/>
      <c r="Q294" s="188"/>
      <c r="R294" s="188"/>
      <c r="S294" s="188"/>
      <c r="T294" s="188"/>
      <c r="U294" s="189"/>
    </row>
    <row r="295" spans="2:21" x14ac:dyDescent="0.35">
      <c r="B295" s="186"/>
      <c r="C295" s="163"/>
      <c r="D295" s="188"/>
      <c r="E295" s="188"/>
      <c r="F295" s="188"/>
      <c r="G295" s="188"/>
      <c r="H295" s="188"/>
      <c r="I295" s="188"/>
      <c r="J295" s="188"/>
      <c r="K295" s="188"/>
      <c r="L295" s="188"/>
      <c r="M295" s="188"/>
      <c r="N295" s="188"/>
      <c r="O295" s="188"/>
      <c r="P295" s="188"/>
      <c r="Q295" s="188"/>
      <c r="R295" s="188"/>
      <c r="S295" s="188"/>
      <c r="T295" s="188"/>
      <c r="U295" s="189"/>
    </row>
    <row r="296" spans="2:21" x14ac:dyDescent="0.35">
      <c r="B296" s="186"/>
      <c r="C296" s="163"/>
      <c r="D296" s="188"/>
      <c r="E296" s="188"/>
      <c r="F296" s="188"/>
      <c r="G296" s="188"/>
      <c r="H296" s="188"/>
      <c r="I296" s="188"/>
      <c r="J296" s="188"/>
      <c r="K296" s="188"/>
      <c r="L296" s="188"/>
      <c r="M296" s="188"/>
      <c r="N296" s="188"/>
      <c r="O296" s="188"/>
      <c r="P296" s="188"/>
      <c r="Q296" s="188"/>
      <c r="R296" s="188"/>
      <c r="S296" s="188"/>
      <c r="T296" s="188"/>
      <c r="U296" s="189"/>
    </row>
    <row r="297" spans="2:21" x14ac:dyDescent="0.35">
      <c r="B297" s="186"/>
      <c r="C297" s="163"/>
      <c r="D297" s="188"/>
      <c r="E297" s="188"/>
      <c r="F297" s="188"/>
      <c r="G297" s="188"/>
      <c r="H297" s="188"/>
      <c r="I297" s="188"/>
      <c r="J297" s="188"/>
      <c r="K297" s="188"/>
      <c r="L297" s="188"/>
      <c r="M297" s="188"/>
      <c r="N297" s="188"/>
      <c r="O297" s="188"/>
      <c r="P297" s="188"/>
      <c r="Q297" s="188"/>
      <c r="R297" s="188"/>
      <c r="S297" s="188"/>
      <c r="T297" s="188"/>
      <c r="U297" s="189"/>
    </row>
    <row r="298" spans="2:21" x14ac:dyDescent="0.35">
      <c r="B298" s="186"/>
      <c r="C298" s="163"/>
      <c r="D298" s="188"/>
      <c r="E298" s="188"/>
      <c r="F298" s="188"/>
      <c r="G298" s="188"/>
      <c r="H298" s="188"/>
      <c r="I298" s="188"/>
      <c r="J298" s="188"/>
      <c r="K298" s="188"/>
      <c r="L298" s="188"/>
      <c r="M298" s="188"/>
      <c r="N298" s="188"/>
      <c r="O298" s="188"/>
      <c r="P298" s="188"/>
      <c r="Q298" s="188"/>
      <c r="R298" s="188"/>
      <c r="S298" s="188"/>
      <c r="T298" s="188"/>
      <c r="U298" s="189"/>
    </row>
    <row r="299" spans="2:21" x14ac:dyDescent="0.35">
      <c r="B299" s="186"/>
      <c r="C299" s="163"/>
      <c r="D299" s="188"/>
      <c r="E299" s="188"/>
      <c r="F299" s="188"/>
      <c r="G299" s="188"/>
      <c r="H299" s="188"/>
      <c r="I299" s="188"/>
      <c r="J299" s="188"/>
      <c r="K299" s="188"/>
      <c r="L299" s="188"/>
      <c r="M299" s="188"/>
      <c r="N299" s="188"/>
      <c r="O299" s="188"/>
      <c r="P299" s="188"/>
      <c r="Q299" s="188"/>
      <c r="R299" s="188"/>
      <c r="S299" s="188"/>
      <c r="T299" s="188"/>
      <c r="U299" s="189"/>
    </row>
    <row r="300" spans="2:21" x14ac:dyDescent="0.35">
      <c r="B300" s="186"/>
      <c r="C300" s="163"/>
      <c r="D300" s="188"/>
      <c r="E300" s="188"/>
      <c r="F300" s="188"/>
      <c r="G300" s="188"/>
      <c r="H300" s="188"/>
      <c r="I300" s="188"/>
      <c r="J300" s="188"/>
      <c r="K300" s="188"/>
      <c r="L300" s="188"/>
      <c r="M300" s="188"/>
      <c r="N300" s="188"/>
      <c r="O300" s="188"/>
      <c r="P300" s="188"/>
      <c r="Q300" s="188"/>
      <c r="R300" s="188"/>
      <c r="S300" s="188"/>
      <c r="T300" s="188"/>
      <c r="U300" s="189"/>
    </row>
    <row r="301" spans="2:21" x14ac:dyDescent="0.35">
      <c r="B301" s="186"/>
      <c r="C301" s="163"/>
      <c r="D301" s="188"/>
      <c r="E301" s="188"/>
      <c r="F301" s="188"/>
      <c r="G301" s="188"/>
      <c r="H301" s="188"/>
      <c r="I301" s="188"/>
      <c r="J301" s="188"/>
      <c r="K301" s="188"/>
      <c r="L301" s="188"/>
      <c r="M301" s="188"/>
      <c r="N301" s="188"/>
      <c r="O301" s="188"/>
      <c r="P301" s="188"/>
      <c r="Q301" s="188"/>
      <c r="R301" s="188"/>
      <c r="S301" s="188"/>
      <c r="T301" s="188"/>
      <c r="U301" s="189"/>
    </row>
    <row r="302" spans="2:21" x14ac:dyDescent="0.35">
      <c r="B302" s="186"/>
      <c r="C302" s="163"/>
      <c r="D302" s="188"/>
      <c r="E302" s="188"/>
      <c r="F302" s="188"/>
      <c r="G302" s="188"/>
      <c r="H302" s="188"/>
      <c r="I302" s="188"/>
      <c r="J302" s="188"/>
      <c r="K302" s="188"/>
      <c r="L302" s="188"/>
      <c r="M302" s="188"/>
      <c r="N302" s="188"/>
      <c r="O302" s="188"/>
      <c r="P302" s="188"/>
      <c r="Q302" s="188"/>
      <c r="R302" s="188"/>
      <c r="S302" s="188"/>
      <c r="T302" s="188"/>
      <c r="U302" s="189"/>
    </row>
    <row r="303" spans="2:21" x14ac:dyDescent="0.35">
      <c r="B303" s="186"/>
      <c r="C303" s="163"/>
      <c r="D303" s="188"/>
      <c r="E303" s="188"/>
      <c r="F303" s="188"/>
      <c r="G303" s="188"/>
      <c r="H303" s="188"/>
      <c r="I303" s="188"/>
      <c r="J303" s="188"/>
      <c r="K303" s="188"/>
      <c r="L303" s="188"/>
      <c r="M303" s="188"/>
      <c r="N303" s="188"/>
      <c r="O303" s="188"/>
      <c r="P303" s="188"/>
      <c r="Q303" s="188"/>
      <c r="R303" s="188"/>
      <c r="S303" s="188"/>
      <c r="T303" s="188"/>
      <c r="U303" s="189"/>
    </row>
    <row r="304" spans="2:21" x14ac:dyDescent="0.35">
      <c r="B304" s="186"/>
      <c r="C304" s="163"/>
      <c r="D304" s="188"/>
      <c r="E304" s="188"/>
      <c r="F304" s="188"/>
      <c r="G304" s="188"/>
      <c r="H304" s="188"/>
      <c r="I304" s="188"/>
      <c r="J304" s="188"/>
      <c r="K304" s="188"/>
      <c r="L304" s="188"/>
      <c r="M304" s="188"/>
      <c r="N304" s="188"/>
      <c r="O304" s="188"/>
      <c r="P304" s="188"/>
      <c r="Q304" s="188"/>
      <c r="R304" s="188"/>
      <c r="S304" s="188"/>
      <c r="T304" s="188"/>
      <c r="U304" s="189"/>
    </row>
    <row r="305" spans="2:21" x14ac:dyDescent="0.35">
      <c r="B305" s="186"/>
      <c r="C305" s="163"/>
      <c r="D305" s="188"/>
      <c r="E305" s="188"/>
      <c r="F305" s="188"/>
      <c r="G305" s="188"/>
      <c r="H305" s="188"/>
      <c r="I305" s="188"/>
      <c r="J305" s="188"/>
      <c r="K305" s="188"/>
      <c r="L305" s="188"/>
      <c r="M305" s="188"/>
      <c r="N305" s="188"/>
      <c r="O305" s="188"/>
      <c r="P305" s="188"/>
      <c r="Q305" s="188"/>
      <c r="R305" s="188"/>
      <c r="S305" s="188"/>
      <c r="T305" s="188"/>
      <c r="U305" s="189"/>
    </row>
    <row r="306" spans="2:21" x14ac:dyDescent="0.35">
      <c r="B306" s="186"/>
      <c r="C306" s="163"/>
      <c r="D306" s="188"/>
      <c r="E306" s="188"/>
      <c r="F306" s="188"/>
      <c r="G306" s="188"/>
      <c r="H306" s="188"/>
      <c r="I306" s="188"/>
      <c r="J306" s="188"/>
      <c r="K306" s="188"/>
      <c r="L306" s="188"/>
      <c r="M306" s="188"/>
      <c r="N306" s="188"/>
      <c r="O306" s="188"/>
      <c r="P306" s="188"/>
      <c r="Q306" s="188"/>
      <c r="R306" s="188"/>
      <c r="S306" s="188"/>
      <c r="T306" s="188"/>
      <c r="U306" s="189"/>
    </row>
    <row r="307" spans="2:21" x14ac:dyDescent="0.35">
      <c r="B307" s="186"/>
      <c r="C307" s="163"/>
      <c r="D307" s="188"/>
      <c r="E307" s="188"/>
      <c r="F307" s="188"/>
      <c r="G307" s="188"/>
      <c r="H307" s="188"/>
      <c r="I307" s="188"/>
      <c r="J307" s="188"/>
      <c r="K307" s="188"/>
      <c r="L307" s="188"/>
      <c r="M307" s="188"/>
      <c r="N307" s="188"/>
      <c r="O307" s="188"/>
      <c r="P307" s="188"/>
      <c r="Q307" s="188"/>
      <c r="R307" s="188"/>
      <c r="S307" s="188"/>
      <c r="T307" s="188"/>
      <c r="U307" s="189"/>
    </row>
    <row r="308" spans="2:21" x14ac:dyDescent="0.35">
      <c r="B308" s="186"/>
      <c r="C308" s="163"/>
      <c r="D308" s="188"/>
      <c r="E308" s="188"/>
      <c r="F308" s="188"/>
      <c r="G308" s="188"/>
      <c r="H308" s="188"/>
      <c r="I308" s="188"/>
      <c r="J308" s="188"/>
      <c r="K308" s="188"/>
      <c r="L308" s="188"/>
      <c r="M308" s="188"/>
      <c r="N308" s="188"/>
      <c r="O308" s="188"/>
      <c r="P308" s="188"/>
      <c r="Q308" s="188"/>
      <c r="R308" s="188"/>
      <c r="S308" s="188"/>
      <c r="T308" s="188"/>
      <c r="U308" s="189"/>
    </row>
    <row r="309" spans="2:21" x14ac:dyDescent="0.35">
      <c r="B309" s="186"/>
      <c r="C309" s="163"/>
      <c r="D309" s="188"/>
      <c r="E309" s="188"/>
      <c r="F309" s="188"/>
      <c r="G309" s="188"/>
      <c r="H309" s="188"/>
      <c r="I309" s="188"/>
      <c r="J309" s="188"/>
      <c r="K309" s="188"/>
      <c r="L309" s="188"/>
      <c r="M309" s="188"/>
      <c r="N309" s="188"/>
      <c r="O309" s="188"/>
      <c r="P309" s="188"/>
      <c r="Q309" s="188"/>
      <c r="R309" s="188"/>
      <c r="S309" s="188"/>
      <c r="T309" s="188"/>
      <c r="U309" s="189"/>
    </row>
    <row r="310" spans="2:21" x14ac:dyDescent="0.35">
      <c r="B310" s="186"/>
      <c r="C310" s="163"/>
      <c r="D310" s="188"/>
      <c r="E310" s="188"/>
      <c r="F310" s="188"/>
      <c r="G310" s="188"/>
      <c r="H310" s="188"/>
      <c r="I310" s="188"/>
      <c r="J310" s="188"/>
      <c r="K310" s="188"/>
      <c r="L310" s="188"/>
      <c r="M310" s="188"/>
      <c r="N310" s="188"/>
      <c r="O310" s="188"/>
      <c r="P310" s="188"/>
      <c r="Q310" s="188"/>
      <c r="R310" s="188"/>
      <c r="S310" s="188"/>
      <c r="T310" s="188"/>
      <c r="U310" s="189"/>
    </row>
    <row r="311" spans="2:21" x14ac:dyDescent="0.35">
      <c r="B311" s="186"/>
      <c r="C311" s="163"/>
      <c r="D311" s="188"/>
      <c r="E311" s="188"/>
      <c r="F311" s="188"/>
      <c r="G311" s="188"/>
      <c r="H311" s="188"/>
      <c r="I311" s="188"/>
      <c r="J311" s="188"/>
      <c r="K311" s="188"/>
      <c r="L311" s="188"/>
      <c r="M311" s="188"/>
      <c r="N311" s="188"/>
      <c r="O311" s="188"/>
      <c r="P311" s="188"/>
      <c r="Q311" s="188"/>
      <c r="R311" s="188"/>
      <c r="S311" s="188"/>
      <c r="T311" s="188"/>
      <c r="U311" s="189"/>
    </row>
    <row r="312" spans="2:21" x14ac:dyDescent="0.35">
      <c r="B312" s="186"/>
      <c r="C312" s="163"/>
      <c r="D312" s="188"/>
      <c r="E312" s="188"/>
      <c r="F312" s="188"/>
      <c r="G312" s="188"/>
      <c r="H312" s="188"/>
      <c r="I312" s="188"/>
      <c r="J312" s="188"/>
      <c r="K312" s="188"/>
      <c r="L312" s="188"/>
      <c r="M312" s="188"/>
      <c r="N312" s="188"/>
      <c r="O312" s="188"/>
      <c r="P312" s="188"/>
      <c r="Q312" s="188"/>
      <c r="R312" s="188"/>
      <c r="S312" s="188"/>
      <c r="T312" s="188"/>
      <c r="U312" s="189"/>
    </row>
    <row r="313" spans="2:21" x14ac:dyDescent="0.35">
      <c r="B313" s="186"/>
      <c r="C313" s="163"/>
      <c r="D313" s="188"/>
      <c r="E313" s="188"/>
      <c r="F313" s="188"/>
      <c r="G313" s="188"/>
      <c r="H313" s="188"/>
      <c r="I313" s="188"/>
      <c r="J313" s="188"/>
      <c r="K313" s="188"/>
      <c r="L313" s="188"/>
      <c r="M313" s="188"/>
      <c r="N313" s="188"/>
      <c r="O313" s="188"/>
      <c r="P313" s="188"/>
      <c r="Q313" s="188"/>
      <c r="R313" s="188"/>
      <c r="S313" s="188"/>
      <c r="T313" s="188"/>
      <c r="U313" s="189"/>
    </row>
    <row r="314" spans="2:21" x14ac:dyDescent="0.35">
      <c r="B314" s="186"/>
      <c r="C314" s="163"/>
      <c r="D314" s="188"/>
      <c r="E314" s="188"/>
      <c r="F314" s="188"/>
      <c r="G314" s="188"/>
      <c r="H314" s="188"/>
      <c r="I314" s="188"/>
      <c r="J314" s="188"/>
      <c r="K314" s="188"/>
      <c r="L314" s="188"/>
      <c r="M314" s="188"/>
      <c r="N314" s="188"/>
      <c r="O314" s="188"/>
      <c r="P314" s="188"/>
      <c r="Q314" s="188"/>
      <c r="R314" s="188"/>
      <c r="S314" s="188"/>
      <c r="T314" s="188"/>
      <c r="U314" s="189"/>
    </row>
    <row r="315" spans="2:21" x14ac:dyDescent="0.35">
      <c r="B315" s="186"/>
      <c r="C315" s="163"/>
      <c r="D315" s="188"/>
      <c r="E315" s="188"/>
      <c r="F315" s="188"/>
      <c r="G315" s="188"/>
      <c r="H315" s="188"/>
      <c r="I315" s="188"/>
      <c r="J315" s="188"/>
      <c r="K315" s="188"/>
      <c r="L315" s="188"/>
      <c r="M315" s="188"/>
      <c r="N315" s="188"/>
      <c r="O315" s="188"/>
      <c r="P315" s="188"/>
      <c r="Q315" s="188"/>
      <c r="R315" s="188"/>
      <c r="S315" s="188"/>
      <c r="T315" s="188"/>
      <c r="U315" s="189"/>
    </row>
    <row r="316" spans="2:21" x14ac:dyDescent="0.35">
      <c r="B316" s="186"/>
      <c r="C316" s="163"/>
      <c r="D316" s="188"/>
      <c r="E316" s="188"/>
      <c r="F316" s="188"/>
      <c r="G316" s="188"/>
      <c r="H316" s="188"/>
      <c r="I316" s="188"/>
      <c r="J316" s="188"/>
      <c r="K316" s="188"/>
      <c r="L316" s="188"/>
      <c r="M316" s="188"/>
      <c r="N316" s="188"/>
      <c r="O316" s="188"/>
      <c r="P316" s="188"/>
      <c r="Q316" s="188"/>
      <c r="R316" s="188"/>
      <c r="S316" s="188"/>
      <c r="T316" s="188"/>
      <c r="U316" s="189"/>
    </row>
    <row r="317" spans="2:21" x14ac:dyDescent="0.35">
      <c r="B317" s="186"/>
      <c r="C317" s="163"/>
      <c r="D317" s="188"/>
      <c r="E317" s="188"/>
      <c r="F317" s="188"/>
      <c r="G317" s="188"/>
      <c r="H317" s="188"/>
      <c r="I317" s="188"/>
      <c r="J317" s="188"/>
      <c r="K317" s="188"/>
      <c r="L317" s="188"/>
      <c r="M317" s="188"/>
      <c r="N317" s="188"/>
      <c r="O317" s="188"/>
      <c r="P317" s="188"/>
      <c r="Q317" s="188"/>
      <c r="R317" s="188"/>
      <c r="S317" s="188"/>
      <c r="T317" s="188"/>
      <c r="U317" s="189"/>
    </row>
    <row r="318" spans="2:21" x14ac:dyDescent="0.35">
      <c r="B318" s="186"/>
      <c r="C318" s="163"/>
      <c r="D318" s="188"/>
      <c r="E318" s="188"/>
      <c r="F318" s="188"/>
      <c r="G318" s="188"/>
      <c r="H318" s="188"/>
      <c r="I318" s="188"/>
      <c r="J318" s="188"/>
      <c r="K318" s="188"/>
      <c r="L318" s="188"/>
      <c r="M318" s="188"/>
      <c r="N318" s="188"/>
      <c r="O318" s="188"/>
      <c r="P318" s="188"/>
      <c r="Q318" s="188"/>
      <c r="R318" s="188"/>
      <c r="S318" s="188"/>
      <c r="T318" s="188"/>
      <c r="U318" s="189"/>
    </row>
    <row r="319" spans="2:21" x14ac:dyDescent="0.35">
      <c r="B319" s="186"/>
      <c r="C319" s="163"/>
      <c r="D319" s="188"/>
      <c r="E319" s="188"/>
      <c r="F319" s="188"/>
      <c r="G319" s="188"/>
      <c r="H319" s="188"/>
      <c r="I319" s="188"/>
      <c r="J319" s="188"/>
      <c r="K319" s="188"/>
      <c r="L319" s="188"/>
      <c r="M319" s="188"/>
      <c r="N319" s="188"/>
      <c r="O319" s="188"/>
      <c r="P319" s="188"/>
      <c r="Q319" s="188"/>
      <c r="R319" s="188"/>
      <c r="S319" s="188"/>
      <c r="T319" s="188"/>
      <c r="U319" s="189"/>
    </row>
    <row r="320" spans="2:21" x14ac:dyDescent="0.35">
      <c r="B320" s="186"/>
      <c r="C320" s="163"/>
      <c r="D320" s="188"/>
      <c r="E320" s="188"/>
      <c r="F320" s="188"/>
      <c r="G320" s="188"/>
      <c r="H320" s="188"/>
      <c r="I320" s="188"/>
      <c r="J320" s="188"/>
      <c r="K320" s="188"/>
      <c r="L320" s="188"/>
      <c r="M320" s="188"/>
      <c r="N320" s="188"/>
      <c r="O320" s="188"/>
      <c r="P320" s="188"/>
      <c r="Q320" s="188"/>
      <c r="R320" s="188"/>
      <c r="S320" s="188"/>
      <c r="T320" s="188"/>
      <c r="U320" s="189"/>
    </row>
    <row r="321" spans="2:21" x14ac:dyDescent="0.35">
      <c r="B321" s="186"/>
      <c r="C321" s="163"/>
      <c r="D321" s="188"/>
      <c r="E321" s="188"/>
      <c r="F321" s="188"/>
      <c r="G321" s="188"/>
      <c r="H321" s="188"/>
      <c r="I321" s="188"/>
      <c r="J321" s="188"/>
      <c r="K321" s="188"/>
      <c r="L321" s="188"/>
      <c r="M321" s="188"/>
      <c r="N321" s="188"/>
      <c r="O321" s="188"/>
      <c r="P321" s="188"/>
      <c r="Q321" s="188"/>
      <c r="R321" s="188"/>
      <c r="S321" s="188"/>
      <c r="T321" s="188"/>
      <c r="U321" s="189"/>
    </row>
    <row r="322" spans="2:21" x14ac:dyDescent="0.35">
      <c r="B322" s="186"/>
      <c r="C322" s="163"/>
      <c r="D322" s="188"/>
      <c r="E322" s="188"/>
      <c r="F322" s="188"/>
      <c r="G322" s="188"/>
      <c r="H322" s="188"/>
      <c r="I322" s="188"/>
      <c r="J322" s="188"/>
      <c r="K322" s="188"/>
      <c r="L322" s="188"/>
      <c r="M322" s="188"/>
      <c r="N322" s="188"/>
      <c r="O322" s="188"/>
      <c r="P322" s="188"/>
      <c r="Q322" s="188"/>
      <c r="R322" s="188"/>
      <c r="S322" s="188"/>
      <c r="T322" s="188"/>
      <c r="U322" s="189"/>
    </row>
    <row r="323" spans="2:21" x14ac:dyDescent="0.35">
      <c r="B323" s="186"/>
      <c r="C323" s="163"/>
      <c r="D323" s="188"/>
      <c r="E323" s="188"/>
      <c r="F323" s="188"/>
      <c r="G323" s="188"/>
      <c r="H323" s="188"/>
      <c r="I323" s="188"/>
      <c r="J323" s="188"/>
      <c r="K323" s="188"/>
      <c r="L323" s="188"/>
      <c r="M323" s="188"/>
      <c r="N323" s="188"/>
      <c r="O323" s="188"/>
      <c r="P323" s="188"/>
      <c r="Q323" s="188"/>
      <c r="R323" s="188"/>
      <c r="S323" s="188"/>
      <c r="T323" s="188"/>
      <c r="U323" s="189"/>
    </row>
    <row r="324" spans="2:21" x14ac:dyDescent="0.35">
      <c r="B324" s="186"/>
      <c r="C324" s="163"/>
      <c r="D324" s="188"/>
      <c r="E324" s="188"/>
      <c r="F324" s="188"/>
      <c r="G324" s="188"/>
      <c r="H324" s="188"/>
      <c r="I324" s="188"/>
      <c r="J324" s="188"/>
      <c r="K324" s="188"/>
      <c r="L324" s="188"/>
      <c r="M324" s="188"/>
      <c r="N324" s="188"/>
      <c r="O324" s="188"/>
      <c r="P324" s="188"/>
      <c r="Q324" s="188"/>
      <c r="R324" s="188"/>
      <c r="S324" s="188"/>
      <c r="T324" s="188"/>
      <c r="U324" s="189"/>
    </row>
    <row r="325" spans="2:21" x14ac:dyDescent="0.35">
      <c r="B325" s="186"/>
      <c r="C325" s="163"/>
      <c r="D325" s="188"/>
      <c r="E325" s="188"/>
      <c r="F325" s="188"/>
      <c r="G325" s="188"/>
      <c r="H325" s="188"/>
      <c r="I325" s="188"/>
      <c r="J325" s="188"/>
      <c r="K325" s="188"/>
      <c r="L325" s="188"/>
      <c r="M325" s="188"/>
      <c r="N325" s="188"/>
      <c r="O325" s="188"/>
      <c r="P325" s="188"/>
      <c r="Q325" s="188"/>
      <c r="R325" s="188"/>
      <c r="S325" s="188"/>
      <c r="T325" s="188"/>
      <c r="U325" s="189"/>
    </row>
    <row r="326" spans="2:21" x14ac:dyDescent="0.35">
      <c r="B326" s="186"/>
      <c r="C326" s="163"/>
      <c r="D326" s="188"/>
      <c r="E326" s="188"/>
      <c r="F326" s="188"/>
      <c r="G326" s="188"/>
      <c r="H326" s="188"/>
      <c r="I326" s="188"/>
      <c r="J326" s="188"/>
      <c r="K326" s="188"/>
      <c r="L326" s="188"/>
      <c r="M326" s="188"/>
      <c r="N326" s="188"/>
      <c r="O326" s="188"/>
      <c r="P326" s="188"/>
      <c r="Q326" s="188"/>
      <c r="R326" s="188"/>
      <c r="S326" s="188"/>
      <c r="T326" s="188"/>
      <c r="U326" s="189"/>
    </row>
    <row r="327" spans="2:21" x14ac:dyDescent="0.35">
      <c r="B327" s="186"/>
      <c r="C327" s="163"/>
      <c r="D327" s="188"/>
      <c r="E327" s="188"/>
      <c r="F327" s="188"/>
      <c r="G327" s="188"/>
      <c r="H327" s="188"/>
      <c r="I327" s="188"/>
      <c r="J327" s="188"/>
      <c r="K327" s="188"/>
      <c r="L327" s="188"/>
      <c r="M327" s="188"/>
      <c r="N327" s="188"/>
      <c r="O327" s="188"/>
      <c r="P327" s="188"/>
      <c r="Q327" s="188"/>
      <c r="R327" s="188"/>
      <c r="S327" s="188"/>
      <c r="T327" s="188"/>
      <c r="U327" s="189"/>
    </row>
    <row r="328" spans="2:21" x14ac:dyDescent="0.35">
      <c r="B328" s="186"/>
      <c r="C328" s="163"/>
      <c r="D328" s="188"/>
      <c r="E328" s="188"/>
      <c r="F328" s="188"/>
      <c r="G328" s="188"/>
      <c r="H328" s="188"/>
      <c r="I328" s="188"/>
      <c r="J328" s="188"/>
      <c r="K328" s="188"/>
      <c r="L328" s="188"/>
      <c r="M328" s="188"/>
      <c r="N328" s="188"/>
      <c r="O328" s="188"/>
      <c r="P328" s="188"/>
      <c r="Q328" s="188"/>
      <c r="R328" s="188"/>
      <c r="S328" s="188"/>
      <c r="T328" s="188"/>
      <c r="U328" s="189"/>
    </row>
    <row r="329" spans="2:21" x14ac:dyDescent="0.35">
      <c r="B329" s="186"/>
      <c r="C329" s="163"/>
      <c r="D329" s="188"/>
      <c r="E329" s="188"/>
      <c r="F329" s="188"/>
      <c r="G329" s="188"/>
      <c r="H329" s="188"/>
      <c r="I329" s="188"/>
      <c r="J329" s="188"/>
      <c r="K329" s="188"/>
      <c r="L329" s="188"/>
      <c r="M329" s="188"/>
      <c r="N329" s="188"/>
      <c r="O329" s="188"/>
      <c r="P329" s="188"/>
      <c r="Q329" s="188"/>
      <c r="R329" s="188"/>
      <c r="S329" s="188"/>
      <c r="T329" s="188"/>
      <c r="U329" s="189"/>
    </row>
    <row r="330" spans="2:21" x14ac:dyDescent="0.35">
      <c r="B330" s="186"/>
      <c r="C330" s="163"/>
      <c r="D330" s="188"/>
      <c r="E330" s="188"/>
      <c r="F330" s="188"/>
      <c r="G330" s="188"/>
      <c r="H330" s="188"/>
      <c r="I330" s="188"/>
      <c r="J330" s="188"/>
      <c r="K330" s="188"/>
      <c r="L330" s="188"/>
      <c r="M330" s="188"/>
      <c r="N330" s="188"/>
      <c r="O330" s="188"/>
      <c r="P330" s="188"/>
      <c r="Q330" s="188"/>
      <c r="R330" s="188"/>
      <c r="S330" s="188"/>
      <c r="T330" s="188"/>
      <c r="U330" s="189"/>
    </row>
    <row r="331" spans="2:21" x14ac:dyDescent="0.35">
      <c r="B331" s="186"/>
      <c r="C331" s="163"/>
      <c r="D331" s="188"/>
      <c r="E331" s="188"/>
      <c r="F331" s="188"/>
      <c r="G331" s="188"/>
      <c r="H331" s="188"/>
      <c r="I331" s="188"/>
      <c r="J331" s="188"/>
      <c r="K331" s="188"/>
      <c r="L331" s="188"/>
      <c r="M331" s="188"/>
      <c r="N331" s="188"/>
      <c r="O331" s="188"/>
      <c r="P331" s="188"/>
      <c r="Q331" s="188"/>
      <c r="R331" s="188"/>
      <c r="S331" s="188"/>
      <c r="T331" s="188"/>
      <c r="U331" s="189"/>
    </row>
    <row r="332" spans="2:21" x14ac:dyDescent="0.35">
      <c r="B332" s="186"/>
      <c r="C332" s="163"/>
      <c r="D332" s="188"/>
      <c r="E332" s="188"/>
      <c r="F332" s="188"/>
      <c r="G332" s="188"/>
      <c r="H332" s="188"/>
      <c r="I332" s="188"/>
      <c r="J332" s="188"/>
      <c r="K332" s="188"/>
      <c r="L332" s="188"/>
      <c r="M332" s="188"/>
      <c r="N332" s="188"/>
      <c r="O332" s="188"/>
      <c r="P332" s="188"/>
      <c r="Q332" s="188"/>
      <c r="R332" s="188"/>
      <c r="S332" s="188"/>
      <c r="T332" s="188"/>
      <c r="U332" s="189"/>
    </row>
    <row r="333" spans="2:21" x14ac:dyDescent="0.35">
      <c r="B333" s="186"/>
      <c r="C333" s="163"/>
      <c r="D333" s="188"/>
      <c r="E333" s="188"/>
      <c r="F333" s="188"/>
      <c r="G333" s="188"/>
      <c r="H333" s="188"/>
      <c r="I333" s="188"/>
      <c r="J333" s="188"/>
      <c r="K333" s="188"/>
      <c r="L333" s="188"/>
      <c r="M333" s="188"/>
      <c r="N333" s="188"/>
      <c r="O333" s="188"/>
      <c r="P333" s="188"/>
      <c r="Q333" s="188"/>
      <c r="R333" s="188"/>
      <c r="S333" s="188"/>
      <c r="T333" s="188"/>
      <c r="U333" s="189"/>
    </row>
    <row r="334" spans="2:21" x14ac:dyDescent="0.35">
      <c r="B334" s="186"/>
      <c r="C334" s="163"/>
      <c r="D334" s="188"/>
      <c r="E334" s="188"/>
      <c r="F334" s="188"/>
      <c r="G334" s="188"/>
      <c r="H334" s="188"/>
      <c r="I334" s="188"/>
      <c r="J334" s="188"/>
      <c r="K334" s="188"/>
      <c r="L334" s="188"/>
      <c r="M334" s="188"/>
      <c r="N334" s="188"/>
      <c r="O334" s="188"/>
      <c r="P334" s="188"/>
      <c r="Q334" s="188"/>
      <c r="R334" s="188"/>
      <c r="S334" s="188"/>
      <c r="T334" s="188"/>
      <c r="U334" s="189"/>
    </row>
    <row r="335" spans="2:21" x14ac:dyDescent="0.35">
      <c r="B335" s="186"/>
      <c r="C335" s="163"/>
      <c r="D335" s="188"/>
      <c r="E335" s="188"/>
      <c r="F335" s="188"/>
      <c r="G335" s="188"/>
      <c r="H335" s="188"/>
      <c r="I335" s="188"/>
      <c r="J335" s="188"/>
      <c r="K335" s="188"/>
      <c r="L335" s="188"/>
      <c r="M335" s="188"/>
      <c r="N335" s="188"/>
      <c r="O335" s="188"/>
      <c r="P335" s="188"/>
      <c r="Q335" s="188"/>
      <c r="R335" s="188"/>
      <c r="S335" s="188"/>
      <c r="T335" s="188"/>
      <c r="U335" s="189"/>
    </row>
    <row r="336" spans="2:21" x14ac:dyDescent="0.35">
      <c r="B336" s="186"/>
      <c r="C336" s="163"/>
      <c r="D336" s="188"/>
      <c r="E336" s="188"/>
      <c r="F336" s="188"/>
      <c r="G336" s="188"/>
      <c r="H336" s="188"/>
      <c r="I336" s="188"/>
      <c r="J336" s="188"/>
      <c r="K336" s="188"/>
      <c r="L336" s="188"/>
      <c r="M336" s="188"/>
      <c r="N336" s="188"/>
      <c r="O336" s="188"/>
      <c r="P336" s="188"/>
      <c r="Q336" s="188"/>
      <c r="R336" s="188"/>
      <c r="S336" s="188"/>
      <c r="T336" s="188"/>
      <c r="U336" s="189"/>
    </row>
    <row r="337" spans="2:21" x14ac:dyDescent="0.35">
      <c r="B337" s="186"/>
      <c r="C337" s="163"/>
      <c r="D337" s="188"/>
      <c r="E337" s="188"/>
      <c r="F337" s="188"/>
      <c r="G337" s="188"/>
      <c r="H337" s="188"/>
      <c r="I337" s="188"/>
      <c r="J337" s="188"/>
      <c r="K337" s="188"/>
      <c r="L337" s="188"/>
      <c r="M337" s="188"/>
      <c r="N337" s="188"/>
      <c r="O337" s="188"/>
      <c r="P337" s="188"/>
      <c r="Q337" s="188"/>
      <c r="R337" s="188"/>
      <c r="S337" s="188"/>
      <c r="T337" s="188"/>
      <c r="U337" s="189"/>
    </row>
    <row r="338" spans="2:21" x14ac:dyDescent="0.35">
      <c r="B338" s="186"/>
      <c r="C338" s="163"/>
      <c r="D338" s="188"/>
      <c r="E338" s="188"/>
      <c r="F338" s="188"/>
      <c r="G338" s="188"/>
      <c r="H338" s="188"/>
      <c r="I338" s="188"/>
      <c r="J338" s="188"/>
      <c r="K338" s="188"/>
      <c r="L338" s="188"/>
      <c r="M338" s="188"/>
      <c r="N338" s="188"/>
      <c r="O338" s="188"/>
      <c r="P338" s="188"/>
      <c r="Q338" s="188"/>
      <c r="R338" s="188"/>
      <c r="S338" s="188"/>
      <c r="T338" s="188"/>
      <c r="U338" s="189"/>
    </row>
    <row r="339" spans="2:21" x14ac:dyDescent="0.35">
      <c r="B339" s="186"/>
      <c r="C339" s="163"/>
      <c r="D339" s="188"/>
      <c r="E339" s="188"/>
      <c r="F339" s="188"/>
      <c r="G339" s="188"/>
      <c r="H339" s="188"/>
      <c r="I339" s="188"/>
      <c r="J339" s="188"/>
      <c r="K339" s="188"/>
      <c r="L339" s="188"/>
      <c r="M339" s="188"/>
      <c r="N339" s="188"/>
      <c r="O339" s="188"/>
      <c r="P339" s="188"/>
      <c r="Q339" s="188"/>
      <c r="R339" s="188"/>
      <c r="S339" s="188"/>
      <c r="T339" s="188"/>
      <c r="U339" s="189"/>
    </row>
    <row r="340" spans="2:21" x14ac:dyDescent="0.35">
      <c r="B340" s="186"/>
      <c r="C340" s="163"/>
      <c r="D340" s="188"/>
      <c r="E340" s="188"/>
      <c r="F340" s="188"/>
      <c r="G340" s="188"/>
      <c r="H340" s="188"/>
      <c r="I340" s="188"/>
      <c r="J340" s="188"/>
      <c r="K340" s="188"/>
      <c r="L340" s="188"/>
      <c r="M340" s="188"/>
      <c r="N340" s="188"/>
      <c r="O340" s="188"/>
      <c r="P340" s="188"/>
      <c r="Q340" s="188"/>
      <c r="R340" s="188"/>
      <c r="S340" s="188"/>
      <c r="T340" s="188"/>
      <c r="U340" s="189"/>
    </row>
    <row r="341" spans="2:21" x14ac:dyDescent="0.35">
      <c r="B341" s="186"/>
      <c r="C341" s="163"/>
      <c r="D341" s="188"/>
      <c r="E341" s="188"/>
      <c r="F341" s="188"/>
      <c r="G341" s="188"/>
      <c r="H341" s="188"/>
      <c r="I341" s="188"/>
      <c r="J341" s="188"/>
      <c r="K341" s="188"/>
      <c r="L341" s="188"/>
      <c r="M341" s="188"/>
      <c r="N341" s="188"/>
      <c r="O341" s="188"/>
      <c r="P341" s="188"/>
      <c r="Q341" s="188"/>
      <c r="R341" s="188"/>
      <c r="S341" s="188"/>
      <c r="T341" s="188"/>
      <c r="U341" s="189"/>
    </row>
    <row r="342" spans="2:21" x14ac:dyDescent="0.35">
      <c r="B342" s="186"/>
      <c r="C342" s="163"/>
      <c r="D342" s="188"/>
      <c r="E342" s="188"/>
      <c r="F342" s="188"/>
      <c r="G342" s="188"/>
      <c r="H342" s="188"/>
      <c r="I342" s="188"/>
      <c r="J342" s="188"/>
      <c r="K342" s="188"/>
      <c r="L342" s="188"/>
      <c r="M342" s="188"/>
      <c r="N342" s="188"/>
      <c r="O342" s="188"/>
      <c r="P342" s="188"/>
      <c r="Q342" s="188"/>
      <c r="R342" s="188"/>
      <c r="S342" s="188"/>
      <c r="T342" s="188"/>
      <c r="U342" s="189"/>
    </row>
    <row r="343" spans="2:21" x14ac:dyDescent="0.35">
      <c r="B343" s="186"/>
      <c r="C343" s="163"/>
      <c r="D343" s="188"/>
      <c r="E343" s="188"/>
      <c r="F343" s="188"/>
      <c r="G343" s="188"/>
      <c r="H343" s="188"/>
      <c r="I343" s="188"/>
      <c r="J343" s="188"/>
      <c r="K343" s="188"/>
      <c r="L343" s="188"/>
      <c r="M343" s="188"/>
      <c r="N343" s="188"/>
      <c r="O343" s="188"/>
      <c r="P343" s="188"/>
      <c r="Q343" s="188"/>
      <c r="R343" s="188"/>
      <c r="S343" s="188"/>
      <c r="T343" s="188"/>
      <c r="U343" s="189"/>
    </row>
    <row r="344" spans="2:21" x14ac:dyDescent="0.35">
      <c r="B344" s="186"/>
      <c r="C344" s="163"/>
      <c r="D344" s="188"/>
      <c r="E344" s="188"/>
      <c r="F344" s="188"/>
      <c r="G344" s="188"/>
      <c r="H344" s="188"/>
      <c r="I344" s="188"/>
      <c r="J344" s="188"/>
      <c r="K344" s="188"/>
      <c r="L344" s="188"/>
      <c r="M344" s="188"/>
      <c r="N344" s="188"/>
      <c r="O344" s="188"/>
      <c r="P344" s="188"/>
      <c r="Q344" s="188"/>
      <c r="R344" s="188"/>
      <c r="S344" s="188"/>
      <c r="T344" s="188"/>
      <c r="U344" s="189"/>
    </row>
    <row r="345" spans="2:21" x14ac:dyDescent="0.35">
      <c r="B345" s="186"/>
      <c r="C345" s="163"/>
      <c r="D345" s="188"/>
      <c r="E345" s="188"/>
      <c r="F345" s="188"/>
      <c r="G345" s="188"/>
      <c r="H345" s="188"/>
      <c r="I345" s="188"/>
      <c r="J345" s="188"/>
      <c r="K345" s="188"/>
      <c r="L345" s="188"/>
      <c r="M345" s="188"/>
      <c r="N345" s="188"/>
      <c r="O345" s="188"/>
      <c r="P345" s="188"/>
      <c r="Q345" s="188"/>
      <c r="R345" s="188"/>
      <c r="S345" s="188"/>
      <c r="T345" s="188"/>
      <c r="U345" s="189"/>
    </row>
    <row r="346" spans="2:21" x14ac:dyDescent="0.35">
      <c r="B346" s="186"/>
      <c r="C346" s="163"/>
      <c r="D346" s="188"/>
      <c r="E346" s="188"/>
      <c r="F346" s="188"/>
      <c r="G346" s="188"/>
      <c r="H346" s="188"/>
      <c r="I346" s="188"/>
      <c r="J346" s="188"/>
      <c r="K346" s="188"/>
      <c r="L346" s="188"/>
      <c r="M346" s="188"/>
      <c r="N346" s="188"/>
      <c r="O346" s="188"/>
      <c r="P346" s="188"/>
      <c r="Q346" s="188"/>
      <c r="R346" s="188"/>
      <c r="S346" s="188"/>
      <c r="T346" s="188"/>
      <c r="U346" s="189"/>
    </row>
    <row r="347" spans="2:21" x14ac:dyDescent="0.35">
      <c r="B347" s="186"/>
      <c r="C347" s="163"/>
      <c r="D347" s="188"/>
      <c r="E347" s="188"/>
      <c r="F347" s="188"/>
      <c r="G347" s="188"/>
      <c r="H347" s="188"/>
      <c r="I347" s="188"/>
      <c r="J347" s="188"/>
      <c r="K347" s="188"/>
      <c r="L347" s="188"/>
      <c r="M347" s="188"/>
      <c r="N347" s="188"/>
      <c r="O347" s="188"/>
      <c r="P347" s="188"/>
      <c r="Q347" s="188"/>
      <c r="R347" s="188"/>
      <c r="S347" s="188"/>
      <c r="T347" s="188"/>
      <c r="U347" s="189"/>
    </row>
    <row r="348" spans="2:21" x14ac:dyDescent="0.35">
      <c r="B348" s="186"/>
      <c r="C348" s="163"/>
      <c r="D348" s="188"/>
      <c r="E348" s="188"/>
      <c r="F348" s="188"/>
      <c r="G348" s="188"/>
      <c r="H348" s="188"/>
      <c r="I348" s="188"/>
      <c r="J348" s="188"/>
      <c r="K348" s="188"/>
      <c r="L348" s="188"/>
      <c r="M348" s="188"/>
      <c r="N348" s="188"/>
      <c r="O348" s="188"/>
      <c r="P348" s="188"/>
      <c r="Q348" s="188"/>
      <c r="R348" s="188"/>
      <c r="S348" s="188"/>
      <c r="T348" s="188"/>
      <c r="U348" s="189"/>
    </row>
    <row r="349" spans="2:21" x14ac:dyDescent="0.35">
      <c r="B349" s="186"/>
      <c r="C349" s="163"/>
      <c r="D349" s="188"/>
      <c r="E349" s="188"/>
      <c r="F349" s="188"/>
      <c r="G349" s="188"/>
      <c r="H349" s="188"/>
      <c r="I349" s="188"/>
      <c r="J349" s="188"/>
      <c r="K349" s="188"/>
      <c r="L349" s="188"/>
      <c r="M349" s="188"/>
      <c r="N349" s="188"/>
      <c r="O349" s="188"/>
      <c r="P349" s="188"/>
      <c r="Q349" s="188"/>
      <c r="R349" s="188"/>
      <c r="S349" s="188"/>
      <c r="T349" s="188"/>
      <c r="U349" s="189"/>
    </row>
    <row r="350" spans="2:21" x14ac:dyDescent="0.35">
      <c r="B350" s="186"/>
      <c r="C350" s="163"/>
      <c r="D350" s="188"/>
      <c r="E350" s="188"/>
      <c r="F350" s="188"/>
      <c r="G350" s="188"/>
      <c r="H350" s="188"/>
      <c r="I350" s="188"/>
      <c r="J350" s="188"/>
      <c r="K350" s="188"/>
      <c r="L350" s="188"/>
      <c r="M350" s="188"/>
      <c r="N350" s="188"/>
      <c r="O350" s="188"/>
      <c r="P350" s="188"/>
      <c r="Q350" s="188"/>
      <c r="R350" s="188"/>
      <c r="S350" s="188"/>
      <c r="T350" s="188"/>
      <c r="U350" s="189"/>
    </row>
    <row r="351" spans="2:21" x14ac:dyDescent="0.35">
      <c r="B351" s="186"/>
      <c r="C351" s="163"/>
      <c r="D351" s="188"/>
      <c r="E351" s="188"/>
      <c r="F351" s="188"/>
      <c r="G351" s="188"/>
      <c r="H351" s="188"/>
      <c r="I351" s="188"/>
      <c r="J351" s="188"/>
      <c r="K351" s="188"/>
      <c r="L351" s="188"/>
      <c r="M351" s="188"/>
      <c r="N351" s="188"/>
      <c r="O351" s="188"/>
      <c r="P351" s="188"/>
      <c r="Q351" s="188"/>
      <c r="R351" s="188"/>
      <c r="S351" s="188"/>
      <c r="T351" s="188"/>
      <c r="U351" s="189"/>
    </row>
    <row r="352" spans="2:21" x14ac:dyDescent="0.35">
      <c r="B352" s="186"/>
      <c r="C352" s="163"/>
      <c r="D352" s="188"/>
      <c r="E352" s="188"/>
      <c r="F352" s="188"/>
      <c r="G352" s="188"/>
      <c r="H352" s="188"/>
      <c r="I352" s="188"/>
      <c r="J352" s="188"/>
      <c r="K352" s="188"/>
      <c r="L352" s="188"/>
      <c r="M352" s="188"/>
      <c r="N352" s="188"/>
      <c r="O352" s="188"/>
      <c r="P352" s="188"/>
      <c r="Q352" s="188"/>
      <c r="R352" s="188"/>
      <c r="S352" s="188"/>
      <c r="T352" s="188"/>
      <c r="U352" s="189"/>
    </row>
    <row r="353" spans="2:21" x14ac:dyDescent="0.35">
      <c r="B353" s="186"/>
      <c r="C353" s="163"/>
      <c r="D353" s="188"/>
      <c r="E353" s="188"/>
      <c r="F353" s="188"/>
      <c r="G353" s="188"/>
      <c r="H353" s="188"/>
      <c r="I353" s="188"/>
      <c r="J353" s="188"/>
      <c r="K353" s="188"/>
      <c r="L353" s="188"/>
      <c r="M353" s="188"/>
      <c r="N353" s="188"/>
      <c r="O353" s="188"/>
      <c r="P353" s="188"/>
      <c r="Q353" s="188"/>
      <c r="R353" s="188"/>
      <c r="S353" s="188"/>
      <c r="T353" s="188"/>
      <c r="U353" s="189"/>
    </row>
    <row r="354" spans="2:21" x14ac:dyDescent="0.35">
      <c r="B354" s="186"/>
      <c r="C354" s="163"/>
      <c r="D354" s="188"/>
      <c r="E354" s="188"/>
      <c r="F354" s="188"/>
      <c r="G354" s="188"/>
      <c r="H354" s="188"/>
      <c r="I354" s="188"/>
      <c r="J354" s="188"/>
      <c r="K354" s="188"/>
      <c r="L354" s="188"/>
      <c r="M354" s="188"/>
      <c r="N354" s="188"/>
      <c r="O354" s="188"/>
      <c r="P354" s="188"/>
      <c r="Q354" s="188"/>
      <c r="R354" s="188"/>
      <c r="S354" s="188"/>
      <c r="T354" s="188"/>
      <c r="U354" s="189"/>
    </row>
    <row r="355" spans="2:21" x14ac:dyDescent="0.35">
      <c r="B355" s="186"/>
      <c r="C355" s="163"/>
      <c r="D355" s="188"/>
      <c r="E355" s="188"/>
      <c r="F355" s="188"/>
      <c r="G355" s="188"/>
      <c r="H355" s="188"/>
      <c r="I355" s="188"/>
      <c r="J355" s="188"/>
      <c r="K355" s="188"/>
      <c r="L355" s="188"/>
      <c r="M355" s="188"/>
      <c r="N355" s="188"/>
      <c r="O355" s="188"/>
      <c r="P355" s="188"/>
      <c r="Q355" s="188"/>
      <c r="R355" s="188"/>
      <c r="S355" s="188"/>
      <c r="T355" s="188"/>
      <c r="U355" s="189"/>
    </row>
    <row r="356" spans="2:21" x14ac:dyDescent="0.35">
      <c r="B356" s="186"/>
      <c r="C356" s="163"/>
      <c r="D356" s="188"/>
      <c r="E356" s="188"/>
      <c r="F356" s="188"/>
      <c r="G356" s="188"/>
      <c r="H356" s="188"/>
      <c r="I356" s="188"/>
      <c r="J356" s="188"/>
      <c r="K356" s="188"/>
      <c r="L356" s="188"/>
      <c r="M356" s="188"/>
      <c r="N356" s="188"/>
      <c r="O356" s="188"/>
      <c r="P356" s="188"/>
      <c r="Q356" s="188"/>
      <c r="R356" s="188"/>
      <c r="S356" s="188"/>
      <c r="T356" s="188"/>
      <c r="U356" s="189"/>
    </row>
    <row r="357" spans="2:21" x14ac:dyDescent="0.35">
      <c r="B357" s="186"/>
      <c r="C357" s="163"/>
      <c r="D357" s="188"/>
      <c r="E357" s="188"/>
      <c r="F357" s="188"/>
      <c r="G357" s="188"/>
      <c r="H357" s="188"/>
      <c r="I357" s="188"/>
      <c r="J357" s="188"/>
      <c r="K357" s="188"/>
      <c r="L357" s="188"/>
      <c r="M357" s="188"/>
      <c r="N357" s="188"/>
      <c r="O357" s="188"/>
      <c r="P357" s="188"/>
      <c r="Q357" s="188"/>
      <c r="R357" s="188"/>
      <c r="S357" s="188"/>
      <c r="T357" s="188"/>
      <c r="U357" s="189"/>
    </row>
    <row r="358" spans="2:21" x14ac:dyDescent="0.35">
      <c r="B358" s="186"/>
      <c r="C358" s="163"/>
      <c r="D358" s="188"/>
      <c r="E358" s="188"/>
      <c r="F358" s="188"/>
      <c r="G358" s="188"/>
      <c r="H358" s="188"/>
      <c r="I358" s="188"/>
      <c r="J358" s="188"/>
      <c r="K358" s="188"/>
      <c r="L358" s="188"/>
      <c r="M358" s="188"/>
      <c r="N358" s="188"/>
      <c r="O358" s="188"/>
      <c r="P358" s="188"/>
      <c r="Q358" s="188"/>
      <c r="R358" s="188"/>
      <c r="S358" s="188"/>
      <c r="T358" s="188"/>
      <c r="U358" s="189"/>
    </row>
    <row r="359" spans="2:21" x14ac:dyDescent="0.35">
      <c r="B359" s="186"/>
      <c r="C359" s="163"/>
      <c r="D359" s="188"/>
      <c r="E359" s="188"/>
      <c r="F359" s="188"/>
      <c r="G359" s="188"/>
      <c r="H359" s="188"/>
      <c r="I359" s="188"/>
      <c r="J359" s="188"/>
      <c r="K359" s="188"/>
      <c r="L359" s="188"/>
      <c r="M359" s="188"/>
      <c r="N359" s="188"/>
      <c r="O359" s="188"/>
      <c r="P359" s="188"/>
      <c r="Q359" s="188"/>
      <c r="R359" s="188"/>
      <c r="S359" s="188"/>
      <c r="T359" s="188"/>
      <c r="U359" s="189"/>
    </row>
    <row r="360" spans="2:21" x14ac:dyDescent="0.35">
      <c r="B360" s="186"/>
      <c r="C360" s="163"/>
      <c r="D360" s="188"/>
      <c r="E360" s="188"/>
      <c r="F360" s="188"/>
      <c r="G360" s="188"/>
      <c r="H360" s="188"/>
      <c r="I360" s="188"/>
      <c r="J360" s="188"/>
      <c r="K360" s="188"/>
      <c r="L360" s="188"/>
      <c r="M360" s="188"/>
      <c r="N360" s="188"/>
      <c r="O360" s="188"/>
      <c r="P360" s="188"/>
      <c r="Q360" s="188"/>
      <c r="R360" s="188"/>
      <c r="S360" s="188"/>
      <c r="T360" s="188"/>
      <c r="U360" s="189"/>
    </row>
    <row r="361" spans="2:21" x14ac:dyDescent="0.35">
      <c r="B361" s="186"/>
      <c r="C361" s="163"/>
      <c r="D361" s="188"/>
      <c r="E361" s="188"/>
      <c r="F361" s="188"/>
      <c r="G361" s="188"/>
      <c r="H361" s="188"/>
      <c r="I361" s="188"/>
      <c r="J361" s="188"/>
      <c r="K361" s="188"/>
      <c r="L361" s="188"/>
      <c r="M361" s="188"/>
      <c r="N361" s="188"/>
      <c r="O361" s="188"/>
      <c r="P361" s="188"/>
      <c r="Q361" s="188"/>
      <c r="R361" s="188"/>
      <c r="S361" s="188"/>
      <c r="T361" s="188"/>
      <c r="U361" s="189"/>
    </row>
    <row r="362" spans="2:21" x14ac:dyDescent="0.35">
      <c r="B362" s="186"/>
      <c r="C362" s="163"/>
      <c r="D362" s="188"/>
      <c r="E362" s="188"/>
      <c r="F362" s="188"/>
      <c r="G362" s="188"/>
      <c r="H362" s="188"/>
      <c r="I362" s="188"/>
      <c r="J362" s="188"/>
      <c r="K362" s="188"/>
      <c r="L362" s="188"/>
      <c r="M362" s="188"/>
      <c r="N362" s="188"/>
      <c r="O362" s="188"/>
      <c r="P362" s="188"/>
      <c r="Q362" s="188"/>
      <c r="R362" s="188"/>
      <c r="S362" s="188"/>
      <c r="T362" s="188"/>
      <c r="U362" s="189"/>
    </row>
    <row r="363" spans="2:21" x14ac:dyDescent="0.35">
      <c r="B363" s="186"/>
      <c r="C363" s="163"/>
      <c r="D363" s="188"/>
      <c r="E363" s="188"/>
      <c r="F363" s="188"/>
      <c r="G363" s="188"/>
      <c r="H363" s="188"/>
      <c r="I363" s="188"/>
      <c r="J363" s="188"/>
      <c r="K363" s="188"/>
      <c r="L363" s="188"/>
      <c r="M363" s="188"/>
      <c r="N363" s="188"/>
      <c r="O363" s="188"/>
      <c r="P363" s="188"/>
      <c r="Q363" s="188"/>
      <c r="R363" s="188"/>
      <c r="S363" s="188"/>
      <c r="T363" s="188"/>
      <c r="U363" s="189"/>
    </row>
    <row r="364" spans="2:21" x14ac:dyDescent="0.35">
      <c r="B364" s="186"/>
      <c r="C364" s="163"/>
      <c r="D364" s="188"/>
      <c r="E364" s="188"/>
      <c r="F364" s="188"/>
      <c r="G364" s="188"/>
      <c r="H364" s="188"/>
      <c r="I364" s="188"/>
      <c r="J364" s="188"/>
      <c r="K364" s="188"/>
      <c r="L364" s="188"/>
      <c r="M364" s="188"/>
      <c r="N364" s="188"/>
      <c r="O364" s="188"/>
      <c r="P364" s="188"/>
      <c r="Q364" s="188"/>
      <c r="R364" s="188"/>
      <c r="S364" s="188"/>
      <c r="T364" s="188"/>
      <c r="U364" s="189"/>
    </row>
    <row r="365" spans="2:21" x14ac:dyDescent="0.35">
      <c r="B365" s="186"/>
      <c r="C365" s="163"/>
      <c r="D365" s="188"/>
      <c r="E365" s="188"/>
      <c r="F365" s="188"/>
      <c r="G365" s="188"/>
      <c r="H365" s="188"/>
      <c r="I365" s="188"/>
      <c r="J365" s="188"/>
      <c r="K365" s="188"/>
      <c r="L365" s="188"/>
      <c r="M365" s="188"/>
      <c r="N365" s="188"/>
      <c r="O365" s="188"/>
      <c r="P365" s="188"/>
      <c r="Q365" s="188"/>
      <c r="R365" s="188"/>
      <c r="S365" s="188"/>
      <c r="T365" s="188"/>
      <c r="U365" s="189"/>
    </row>
    <row r="366" spans="2:21" x14ac:dyDescent="0.35">
      <c r="B366" s="186"/>
      <c r="C366" s="163"/>
      <c r="D366" s="188"/>
      <c r="E366" s="188"/>
      <c r="F366" s="188"/>
      <c r="G366" s="188"/>
      <c r="H366" s="188"/>
      <c r="I366" s="188"/>
      <c r="J366" s="188"/>
      <c r="K366" s="188"/>
      <c r="L366" s="188"/>
      <c r="M366" s="188"/>
      <c r="N366" s="188"/>
      <c r="O366" s="188"/>
      <c r="P366" s="188"/>
      <c r="Q366" s="188"/>
      <c r="R366" s="188"/>
      <c r="S366" s="188"/>
      <c r="T366" s="188"/>
      <c r="U366" s="189"/>
    </row>
    <row r="367" spans="2:21" x14ac:dyDescent="0.35">
      <c r="B367" s="186"/>
      <c r="C367" s="163"/>
      <c r="D367" s="188"/>
      <c r="E367" s="188"/>
      <c r="F367" s="188"/>
      <c r="G367" s="188"/>
      <c r="H367" s="188"/>
      <c r="I367" s="188"/>
      <c r="J367" s="188"/>
      <c r="K367" s="188"/>
      <c r="L367" s="188"/>
      <c r="M367" s="188"/>
      <c r="N367" s="188"/>
      <c r="O367" s="188"/>
      <c r="P367" s="188"/>
      <c r="Q367" s="188"/>
      <c r="R367" s="188"/>
      <c r="S367" s="188"/>
      <c r="T367" s="188"/>
      <c r="U367" s="189"/>
    </row>
    <row r="368" spans="2:21" x14ac:dyDescent="0.35">
      <c r="B368" s="186"/>
      <c r="C368" s="163"/>
      <c r="D368" s="188"/>
      <c r="E368" s="188"/>
      <c r="F368" s="188"/>
      <c r="G368" s="188"/>
      <c r="H368" s="188"/>
      <c r="I368" s="188"/>
      <c r="J368" s="188"/>
      <c r="K368" s="188"/>
      <c r="L368" s="188"/>
      <c r="M368" s="188"/>
      <c r="N368" s="188"/>
      <c r="O368" s="188"/>
      <c r="P368" s="188"/>
      <c r="Q368" s="188"/>
      <c r="R368" s="188"/>
      <c r="S368" s="188"/>
      <c r="T368" s="188"/>
      <c r="U368" s="189"/>
    </row>
    <row r="369" spans="2:21" x14ac:dyDescent="0.35">
      <c r="B369" s="186"/>
      <c r="C369" s="163"/>
      <c r="D369" s="188"/>
      <c r="E369" s="188"/>
      <c r="F369" s="188"/>
      <c r="G369" s="188"/>
      <c r="H369" s="188"/>
      <c r="I369" s="188"/>
      <c r="J369" s="188"/>
      <c r="K369" s="188"/>
      <c r="L369" s="188"/>
      <c r="M369" s="188"/>
      <c r="N369" s="188"/>
      <c r="O369" s="188"/>
      <c r="P369" s="188"/>
      <c r="Q369" s="188"/>
      <c r="R369" s="188"/>
      <c r="S369" s="188"/>
      <c r="T369" s="188"/>
      <c r="U369" s="189"/>
    </row>
    <row r="370" spans="2:21" x14ac:dyDescent="0.35">
      <c r="B370" s="186"/>
      <c r="C370" s="163"/>
      <c r="D370" s="188"/>
      <c r="E370" s="188"/>
      <c r="F370" s="188"/>
      <c r="G370" s="188"/>
      <c r="H370" s="188"/>
      <c r="I370" s="188"/>
      <c r="J370" s="188"/>
      <c r="K370" s="188"/>
      <c r="L370" s="188"/>
      <c r="M370" s="188"/>
      <c r="N370" s="188"/>
      <c r="O370" s="188"/>
      <c r="P370" s="188"/>
      <c r="Q370" s="188"/>
      <c r="R370" s="188"/>
      <c r="S370" s="188"/>
      <c r="T370" s="188"/>
      <c r="U370" s="189"/>
    </row>
    <row r="371" spans="2:21" x14ac:dyDescent="0.35">
      <c r="B371" s="186"/>
      <c r="C371" s="163"/>
      <c r="D371" s="188"/>
      <c r="E371" s="188"/>
      <c r="F371" s="188"/>
      <c r="G371" s="188"/>
      <c r="H371" s="188"/>
      <c r="I371" s="188"/>
      <c r="J371" s="188"/>
      <c r="K371" s="188"/>
      <c r="L371" s="188"/>
      <c r="M371" s="188"/>
      <c r="N371" s="188"/>
      <c r="O371" s="188"/>
      <c r="P371" s="188"/>
      <c r="Q371" s="188"/>
      <c r="R371" s="188"/>
      <c r="S371" s="188"/>
      <c r="T371" s="188"/>
      <c r="U371" s="189"/>
    </row>
    <row r="372" spans="2:21" x14ac:dyDescent="0.35">
      <c r="B372" s="186"/>
      <c r="C372" s="163"/>
      <c r="D372" s="188"/>
      <c r="E372" s="188"/>
      <c r="F372" s="188"/>
      <c r="G372" s="188"/>
      <c r="H372" s="188"/>
      <c r="I372" s="188"/>
      <c r="J372" s="188"/>
      <c r="K372" s="188"/>
      <c r="L372" s="188"/>
      <c r="M372" s="188"/>
      <c r="N372" s="188"/>
      <c r="O372" s="188"/>
      <c r="P372" s="188"/>
      <c r="Q372" s="188"/>
      <c r="R372" s="188"/>
      <c r="S372" s="188"/>
      <c r="T372" s="188"/>
      <c r="U372" s="189"/>
    </row>
    <row r="373" spans="2:21" x14ac:dyDescent="0.35">
      <c r="B373" s="186"/>
      <c r="C373" s="163"/>
      <c r="D373" s="188"/>
      <c r="E373" s="188"/>
      <c r="F373" s="188"/>
      <c r="G373" s="188"/>
      <c r="H373" s="188"/>
      <c r="I373" s="188"/>
      <c r="J373" s="188"/>
      <c r="K373" s="188"/>
      <c r="L373" s="188"/>
      <c r="M373" s="188"/>
      <c r="N373" s="188"/>
      <c r="O373" s="188"/>
      <c r="P373" s="188"/>
      <c r="Q373" s="188"/>
      <c r="R373" s="188"/>
      <c r="S373" s="188"/>
      <c r="T373" s="188"/>
      <c r="U373" s="189"/>
    </row>
    <row r="374" spans="2:21" x14ac:dyDescent="0.35">
      <c r="B374" s="186"/>
      <c r="C374" s="163"/>
      <c r="D374" s="188"/>
      <c r="E374" s="188"/>
      <c r="F374" s="188"/>
      <c r="G374" s="188"/>
      <c r="H374" s="188"/>
      <c r="I374" s="188"/>
      <c r="J374" s="188"/>
      <c r="K374" s="188"/>
      <c r="L374" s="188"/>
      <c r="M374" s="188"/>
      <c r="N374" s="188"/>
      <c r="O374" s="188"/>
      <c r="P374" s="188"/>
      <c r="Q374" s="188"/>
      <c r="R374" s="188"/>
      <c r="S374" s="188"/>
      <c r="T374" s="188"/>
      <c r="U374" s="189"/>
    </row>
    <row r="375" spans="2:21" x14ac:dyDescent="0.35">
      <c r="B375" s="186"/>
      <c r="C375" s="163"/>
      <c r="D375" s="188"/>
      <c r="E375" s="188"/>
      <c r="F375" s="188"/>
      <c r="G375" s="188"/>
      <c r="H375" s="188"/>
      <c r="I375" s="188"/>
      <c r="J375" s="188"/>
      <c r="K375" s="188"/>
      <c r="L375" s="188"/>
      <c r="M375" s="188"/>
      <c r="N375" s="188"/>
      <c r="O375" s="188"/>
      <c r="P375" s="188"/>
      <c r="Q375" s="188"/>
      <c r="R375" s="188"/>
      <c r="S375" s="188"/>
      <c r="T375" s="188"/>
      <c r="U375" s="189"/>
    </row>
    <row r="376" spans="2:21" x14ac:dyDescent="0.35">
      <c r="B376" s="186"/>
      <c r="C376" s="163"/>
      <c r="D376" s="188"/>
      <c r="E376" s="188"/>
      <c r="F376" s="188"/>
      <c r="G376" s="188"/>
      <c r="H376" s="188"/>
      <c r="I376" s="188"/>
      <c r="J376" s="188"/>
      <c r="K376" s="188"/>
      <c r="L376" s="188"/>
      <c r="M376" s="188"/>
      <c r="N376" s="188"/>
      <c r="O376" s="188"/>
      <c r="P376" s="188"/>
      <c r="Q376" s="188"/>
      <c r="R376" s="188"/>
      <c r="S376" s="188"/>
      <c r="T376" s="188"/>
      <c r="U376" s="189"/>
    </row>
    <row r="377" spans="2:21" x14ac:dyDescent="0.35">
      <c r="B377" s="186"/>
      <c r="C377" s="163"/>
      <c r="D377" s="188"/>
      <c r="E377" s="188"/>
      <c r="F377" s="188"/>
      <c r="G377" s="188"/>
      <c r="H377" s="188"/>
      <c r="I377" s="188"/>
      <c r="J377" s="188"/>
      <c r="K377" s="188"/>
      <c r="L377" s="188"/>
      <c r="M377" s="188"/>
      <c r="N377" s="188"/>
      <c r="O377" s="188"/>
      <c r="P377" s="188"/>
      <c r="Q377" s="188"/>
      <c r="R377" s="188"/>
      <c r="S377" s="188"/>
      <c r="T377" s="188"/>
      <c r="U377" s="189"/>
    </row>
    <row r="378" spans="2:21" x14ac:dyDescent="0.35">
      <c r="B378" s="186"/>
      <c r="C378" s="163"/>
      <c r="D378" s="188"/>
      <c r="E378" s="188"/>
      <c r="F378" s="188"/>
      <c r="G378" s="188"/>
      <c r="H378" s="188"/>
      <c r="I378" s="188"/>
      <c r="J378" s="188"/>
      <c r="K378" s="188"/>
      <c r="L378" s="188"/>
      <c r="M378" s="188"/>
      <c r="N378" s="188"/>
      <c r="O378" s="188"/>
      <c r="P378" s="188"/>
      <c r="Q378" s="188"/>
      <c r="R378" s="188"/>
      <c r="S378" s="188"/>
      <c r="T378" s="188"/>
      <c r="U378" s="189"/>
    </row>
    <row r="379" spans="2:21" x14ac:dyDescent="0.35">
      <c r="B379" s="186"/>
      <c r="C379" s="163"/>
      <c r="D379" s="188"/>
      <c r="E379" s="188"/>
      <c r="F379" s="188"/>
      <c r="G379" s="188"/>
      <c r="H379" s="188"/>
      <c r="I379" s="188"/>
      <c r="J379" s="188"/>
      <c r="K379" s="188"/>
      <c r="L379" s="188"/>
      <c r="M379" s="188"/>
      <c r="N379" s="188"/>
      <c r="O379" s="188"/>
      <c r="P379" s="188"/>
      <c r="Q379" s="188"/>
      <c r="R379" s="188"/>
      <c r="S379" s="188"/>
      <c r="T379" s="188"/>
      <c r="U379" s="189"/>
    </row>
    <row r="380" spans="2:21" x14ac:dyDescent="0.35">
      <c r="B380" s="186"/>
      <c r="C380" s="163"/>
      <c r="D380" s="188"/>
      <c r="E380" s="188"/>
      <c r="F380" s="188"/>
      <c r="G380" s="188"/>
      <c r="H380" s="188"/>
      <c r="I380" s="188"/>
      <c r="J380" s="188"/>
      <c r="K380" s="188"/>
      <c r="L380" s="188"/>
      <c r="M380" s="188"/>
      <c r="N380" s="188"/>
      <c r="O380" s="188"/>
      <c r="P380" s="188"/>
      <c r="Q380" s="188"/>
      <c r="R380" s="188"/>
      <c r="S380" s="188"/>
      <c r="T380" s="188"/>
      <c r="U380" s="189"/>
    </row>
    <row r="381" spans="2:21" x14ac:dyDescent="0.35">
      <c r="B381" s="186"/>
      <c r="C381" s="163"/>
      <c r="D381" s="188"/>
      <c r="E381" s="188"/>
      <c r="F381" s="188"/>
      <c r="G381" s="188"/>
      <c r="H381" s="188"/>
      <c r="I381" s="188"/>
      <c r="J381" s="188"/>
      <c r="K381" s="188"/>
      <c r="L381" s="188"/>
      <c r="M381" s="188"/>
      <c r="N381" s="188"/>
      <c r="O381" s="188"/>
      <c r="P381" s="188"/>
      <c r="Q381" s="188"/>
      <c r="R381" s="188"/>
      <c r="S381" s="188"/>
      <c r="T381" s="188"/>
      <c r="U381" s="189"/>
    </row>
    <row r="382" spans="2:21" x14ac:dyDescent="0.35">
      <c r="B382" s="186"/>
      <c r="C382" s="163"/>
      <c r="D382" s="188"/>
      <c r="E382" s="188"/>
      <c r="F382" s="188"/>
      <c r="G382" s="188"/>
      <c r="H382" s="188"/>
      <c r="I382" s="188"/>
      <c r="J382" s="188"/>
      <c r="K382" s="188"/>
      <c r="L382" s="188"/>
      <c r="M382" s="188"/>
      <c r="N382" s="188"/>
      <c r="O382" s="188"/>
      <c r="P382" s="188"/>
      <c r="Q382" s="188"/>
      <c r="R382" s="188"/>
      <c r="S382" s="188"/>
      <c r="T382" s="188"/>
      <c r="U382" s="189"/>
    </row>
    <row r="383" spans="2:21" x14ac:dyDescent="0.35">
      <c r="B383" s="186"/>
      <c r="C383" s="163"/>
      <c r="D383" s="188"/>
      <c r="E383" s="188"/>
      <c r="F383" s="188"/>
      <c r="G383" s="188"/>
      <c r="H383" s="188"/>
      <c r="I383" s="188"/>
      <c r="J383" s="188"/>
      <c r="K383" s="188"/>
      <c r="L383" s="188"/>
      <c r="M383" s="188"/>
      <c r="N383" s="188"/>
      <c r="O383" s="188"/>
      <c r="P383" s="188"/>
      <c r="Q383" s="188"/>
      <c r="R383" s="188"/>
      <c r="S383" s="188"/>
      <c r="T383" s="188"/>
      <c r="U383" s="189"/>
    </row>
    <row r="384" spans="2:21" x14ac:dyDescent="0.35">
      <c r="B384" s="186"/>
      <c r="C384" s="163"/>
      <c r="D384" s="188"/>
      <c r="E384" s="188"/>
      <c r="F384" s="188"/>
      <c r="G384" s="188"/>
      <c r="H384" s="188"/>
      <c r="I384" s="188"/>
      <c r="J384" s="188"/>
      <c r="K384" s="188"/>
      <c r="L384" s="188"/>
      <c r="M384" s="188"/>
      <c r="N384" s="188"/>
      <c r="O384" s="188"/>
      <c r="P384" s="188"/>
      <c r="Q384" s="188"/>
      <c r="R384" s="188"/>
      <c r="S384" s="188"/>
      <c r="T384" s="188"/>
      <c r="U384" s="189"/>
    </row>
    <row r="385" spans="2:21" x14ac:dyDescent="0.35">
      <c r="B385" s="186"/>
      <c r="C385" s="163"/>
      <c r="D385" s="188"/>
      <c r="E385" s="188"/>
      <c r="F385" s="188"/>
      <c r="G385" s="188"/>
      <c r="H385" s="188"/>
      <c r="I385" s="188"/>
      <c r="J385" s="188"/>
      <c r="K385" s="188"/>
      <c r="L385" s="188"/>
      <c r="M385" s="188"/>
      <c r="N385" s="188"/>
      <c r="O385" s="188"/>
      <c r="P385" s="188"/>
      <c r="Q385" s="188"/>
      <c r="R385" s="188"/>
      <c r="S385" s="188"/>
      <c r="T385" s="188"/>
      <c r="U385" s="189"/>
    </row>
    <row r="386" spans="2:21" x14ac:dyDescent="0.35">
      <c r="B386" s="186"/>
      <c r="C386" s="163"/>
      <c r="D386" s="188"/>
      <c r="E386" s="188"/>
      <c r="F386" s="188"/>
      <c r="G386" s="188"/>
      <c r="H386" s="188"/>
      <c r="I386" s="188"/>
      <c r="J386" s="188"/>
      <c r="K386" s="188"/>
      <c r="L386" s="188"/>
      <c r="M386" s="188"/>
      <c r="N386" s="188"/>
      <c r="O386" s="188"/>
      <c r="P386" s="188"/>
      <c r="Q386" s="188"/>
      <c r="R386" s="188"/>
      <c r="S386" s="188"/>
      <c r="T386" s="188"/>
      <c r="U386" s="189"/>
    </row>
    <row r="387" spans="2:21" x14ac:dyDescent="0.35">
      <c r="B387" s="186"/>
      <c r="C387" s="163"/>
      <c r="D387" s="188"/>
      <c r="E387" s="188"/>
      <c r="F387" s="188"/>
      <c r="G387" s="188"/>
      <c r="H387" s="188"/>
      <c r="I387" s="188"/>
      <c r="J387" s="188"/>
      <c r="K387" s="188"/>
      <c r="L387" s="188"/>
      <c r="M387" s="188"/>
      <c r="N387" s="188"/>
      <c r="O387" s="188"/>
      <c r="P387" s="188"/>
      <c r="Q387" s="188"/>
      <c r="R387" s="188"/>
      <c r="S387" s="188"/>
      <c r="T387" s="188"/>
      <c r="U387" s="189"/>
    </row>
    <row r="388" spans="2:21" x14ac:dyDescent="0.35">
      <c r="B388" s="186"/>
      <c r="C388" s="163"/>
      <c r="D388" s="188"/>
      <c r="E388" s="188"/>
      <c r="F388" s="188"/>
      <c r="G388" s="188"/>
      <c r="H388" s="188"/>
      <c r="I388" s="188"/>
      <c r="J388" s="188"/>
      <c r="K388" s="188"/>
      <c r="L388" s="188"/>
      <c r="M388" s="188"/>
      <c r="N388" s="188"/>
      <c r="O388" s="188"/>
      <c r="P388" s="188"/>
      <c r="Q388" s="188"/>
      <c r="R388" s="188"/>
      <c r="S388" s="188"/>
      <c r="T388" s="188"/>
      <c r="U388" s="189"/>
    </row>
    <row r="389" spans="2:21" x14ac:dyDescent="0.35">
      <c r="B389" s="186"/>
      <c r="C389" s="163"/>
      <c r="D389" s="188"/>
      <c r="E389" s="188"/>
      <c r="F389" s="188"/>
      <c r="G389" s="188"/>
      <c r="H389" s="188"/>
      <c r="I389" s="188"/>
      <c r="J389" s="188"/>
      <c r="K389" s="188"/>
      <c r="L389" s="188"/>
      <c r="M389" s="188"/>
      <c r="N389" s="188"/>
      <c r="O389" s="188"/>
      <c r="P389" s="188"/>
      <c r="Q389" s="188"/>
      <c r="R389" s="188"/>
      <c r="S389" s="188"/>
      <c r="T389" s="188"/>
      <c r="U389" s="189"/>
    </row>
    <row r="390" spans="2:21" x14ac:dyDescent="0.35">
      <c r="B390" s="186"/>
      <c r="C390" s="163"/>
      <c r="D390" s="188"/>
      <c r="E390" s="188"/>
      <c r="F390" s="188"/>
      <c r="G390" s="188"/>
      <c r="H390" s="188"/>
      <c r="I390" s="188"/>
      <c r="J390" s="188"/>
      <c r="K390" s="188"/>
      <c r="L390" s="188"/>
      <c r="M390" s="188"/>
      <c r="N390" s="188"/>
      <c r="O390" s="188"/>
      <c r="P390" s="188"/>
      <c r="Q390" s="188"/>
      <c r="R390" s="188"/>
      <c r="S390" s="188"/>
      <c r="T390" s="188"/>
      <c r="U390" s="189"/>
    </row>
    <row r="391" spans="2:21" x14ac:dyDescent="0.35">
      <c r="B391" s="186"/>
      <c r="C391" s="163"/>
      <c r="D391" s="188"/>
      <c r="E391" s="188"/>
      <c r="F391" s="188"/>
      <c r="G391" s="188"/>
      <c r="H391" s="188"/>
      <c r="I391" s="188"/>
      <c r="J391" s="188"/>
      <c r="K391" s="188"/>
      <c r="L391" s="188"/>
      <c r="M391" s="188"/>
      <c r="N391" s="188"/>
      <c r="O391" s="188"/>
      <c r="P391" s="188"/>
      <c r="Q391" s="188"/>
      <c r="R391" s="188"/>
      <c r="S391" s="188"/>
      <c r="T391" s="188"/>
      <c r="U391" s="189"/>
    </row>
    <row r="392" spans="2:21" x14ac:dyDescent="0.35">
      <c r="B392" s="186"/>
      <c r="C392" s="163"/>
      <c r="D392" s="188"/>
      <c r="E392" s="188"/>
      <c r="F392" s="188"/>
      <c r="G392" s="188"/>
      <c r="H392" s="188"/>
      <c r="I392" s="188"/>
      <c r="J392" s="188"/>
      <c r="K392" s="188"/>
      <c r="L392" s="188"/>
      <c r="M392" s="188"/>
      <c r="N392" s="188"/>
      <c r="O392" s="188"/>
      <c r="P392" s="188"/>
      <c r="Q392" s="188"/>
      <c r="R392" s="188"/>
      <c r="S392" s="188"/>
      <c r="T392" s="188"/>
      <c r="U392" s="189"/>
    </row>
    <row r="393" spans="2:21" x14ac:dyDescent="0.35">
      <c r="B393" s="186"/>
      <c r="C393" s="163"/>
      <c r="D393" s="188"/>
      <c r="E393" s="188"/>
      <c r="F393" s="188"/>
      <c r="G393" s="188"/>
      <c r="H393" s="188"/>
      <c r="I393" s="188"/>
      <c r="J393" s="188"/>
      <c r="K393" s="188"/>
      <c r="L393" s="188"/>
      <c r="M393" s="188"/>
      <c r="N393" s="188"/>
      <c r="O393" s="188"/>
      <c r="P393" s="188"/>
      <c r="Q393" s="188"/>
      <c r="R393" s="188"/>
      <c r="S393" s="188"/>
      <c r="T393" s="188"/>
      <c r="U393" s="189"/>
    </row>
    <row r="394" spans="2:21" x14ac:dyDescent="0.35">
      <c r="B394" s="186"/>
      <c r="C394" s="163"/>
      <c r="D394" s="188"/>
      <c r="E394" s="188"/>
      <c r="F394" s="188"/>
      <c r="G394" s="188"/>
      <c r="H394" s="188"/>
      <c r="I394" s="188"/>
      <c r="J394" s="188"/>
      <c r="K394" s="188"/>
      <c r="L394" s="188"/>
      <c r="M394" s="188"/>
      <c r="N394" s="188"/>
      <c r="O394" s="188"/>
      <c r="P394" s="188"/>
      <c r="Q394" s="188"/>
      <c r="R394" s="188"/>
      <c r="S394" s="188"/>
      <c r="T394" s="188"/>
      <c r="U394" s="189"/>
    </row>
    <row r="395" spans="2:21" x14ac:dyDescent="0.35">
      <c r="B395" s="186"/>
      <c r="C395" s="163"/>
      <c r="D395" s="188"/>
      <c r="E395" s="188"/>
      <c r="F395" s="188"/>
      <c r="G395" s="188"/>
      <c r="H395" s="188"/>
      <c r="I395" s="188"/>
      <c r="J395" s="188"/>
      <c r="K395" s="188"/>
      <c r="L395" s="188"/>
      <c r="M395" s="188"/>
      <c r="N395" s="188"/>
      <c r="O395" s="188"/>
      <c r="P395" s="188"/>
      <c r="Q395" s="188"/>
      <c r="R395" s="188"/>
      <c r="S395" s="188"/>
      <c r="T395" s="188"/>
      <c r="U395" s="189"/>
    </row>
    <row r="396" spans="2:21" x14ac:dyDescent="0.35">
      <c r="B396" s="186"/>
      <c r="C396" s="163"/>
      <c r="D396" s="188"/>
      <c r="E396" s="188"/>
      <c r="F396" s="188"/>
      <c r="G396" s="188"/>
      <c r="H396" s="188"/>
      <c r="I396" s="188"/>
      <c r="J396" s="188"/>
      <c r="K396" s="188"/>
      <c r="L396" s="188"/>
      <c r="M396" s="188"/>
      <c r="N396" s="188"/>
      <c r="O396" s="188"/>
      <c r="P396" s="188"/>
      <c r="Q396" s="188"/>
      <c r="R396" s="188"/>
      <c r="S396" s="188"/>
      <c r="T396" s="188"/>
      <c r="U396" s="189"/>
    </row>
    <row r="397" spans="2:21" x14ac:dyDescent="0.35">
      <c r="B397" s="186"/>
      <c r="C397" s="163"/>
      <c r="D397" s="188"/>
      <c r="E397" s="188"/>
      <c r="F397" s="188"/>
      <c r="G397" s="188"/>
      <c r="H397" s="188"/>
      <c r="I397" s="188"/>
      <c r="J397" s="188"/>
      <c r="K397" s="188"/>
      <c r="L397" s="188"/>
      <c r="M397" s="188"/>
      <c r="N397" s="188"/>
      <c r="O397" s="188"/>
      <c r="P397" s="188"/>
      <c r="Q397" s="188"/>
      <c r="R397" s="188"/>
      <c r="S397" s="188"/>
      <c r="T397" s="188"/>
      <c r="U397" s="189"/>
    </row>
    <row r="398" spans="2:21" x14ac:dyDescent="0.35">
      <c r="B398" s="186"/>
      <c r="C398" s="163"/>
      <c r="D398" s="188"/>
      <c r="E398" s="188"/>
      <c r="F398" s="188"/>
      <c r="G398" s="188"/>
      <c r="H398" s="188"/>
      <c r="I398" s="188"/>
      <c r="J398" s="188"/>
      <c r="K398" s="188"/>
      <c r="L398" s="188"/>
      <c r="M398" s="188"/>
      <c r="N398" s="188"/>
      <c r="O398" s="188"/>
      <c r="P398" s="188"/>
      <c r="Q398" s="188"/>
      <c r="R398" s="188"/>
      <c r="S398" s="188"/>
      <c r="T398" s="188"/>
      <c r="U398" s="189"/>
    </row>
    <row r="399" spans="2:21" x14ac:dyDescent="0.35">
      <c r="B399" s="186"/>
      <c r="C399" s="163"/>
      <c r="D399" s="188"/>
      <c r="E399" s="188"/>
      <c r="F399" s="188"/>
      <c r="G399" s="188"/>
      <c r="H399" s="188"/>
      <c r="I399" s="188"/>
      <c r="J399" s="188"/>
      <c r="K399" s="188"/>
      <c r="L399" s="188"/>
      <c r="M399" s="188"/>
      <c r="N399" s="188"/>
      <c r="O399" s="188"/>
      <c r="P399" s="188"/>
      <c r="Q399" s="188"/>
      <c r="R399" s="188"/>
      <c r="S399" s="188"/>
      <c r="T399" s="188"/>
      <c r="U399" s="189"/>
    </row>
    <row r="400" spans="2:21" x14ac:dyDescent="0.35">
      <c r="B400" s="186"/>
      <c r="C400" s="163"/>
      <c r="D400" s="188"/>
      <c r="E400" s="188"/>
      <c r="F400" s="188"/>
      <c r="G400" s="188"/>
      <c r="H400" s="188"/>
      <c r="I400" s="188"/>
      <c r="J400" s="188"/>
      <c r="K400" s="188"/>
      <c r="L400" s="188"/>
      <c r="M400" s="188"/>
      <c r="N400" s="188"/>
      <c r="O400" s="188"/>
      <c r="P400" s="188"/>
      <c r="Q400" s="188"/>
      <c r="R400" s="188"/>
      <c r="S400" s="188"/>
      <c r="T400" s="188"/>
      <c r="U400" s="189"/>
    </row>
    <row r="401" spans="2:21" x14ac:dyDescent="0.35">
      <c r="B401" s="186"/>
      <c r="C401" s="163"/>
      <c r="D401" s="188"/>
      <c r="E401" s="188"/>
      <c r="F401" s="188"/>
      <c r="G401" s="188"/>
      <c r="H401" s="188"/>
      <c r="I401" s="188"/>
      <c r="J401" s="188"/>
      <c r="K401" s="188"/>
      <c r="L401" s="188"/>
      <c r="M401" s="188"/>
      <c r="N401" s="188"/>
      <c r="O401" s="188"/>
      <c r="P401" s="188"/>
      <c r="Q401" s="188"/>
      <c r="R401" s="188"/>
      <c r="S401" s="188"/>
      <c r="T401" s="188"/>
      <c r="U401" s="189"/>
    </row>
    <row r="402" spans="2:21" x14ac:dyDescent="0.35">
      <c r="B402" s="186"/>
      <c r="C402" s="163"/>
      <c r="D402" s="188"/>
      <c r="E402" s="188"/>
      <c r="F402" s="188"/>
      <c r="G402" s="188"/>
      <c r="H402" s="188"/>
      <c r="I402" s="188"/>
      <c r="J402" s="188"/>
      <c r="K402" s="188"/>
      <c r="L402" s="188"/>
      <c r="M402" s="188"/>
      <c r="N402" s="188"/>
      <c r="O402" s="188"/>
      <c r="P402" s="188"/>
      <c r="Q402" s="188"/>
      <c r="R402" s="188"/>
      <c r="S402" s="188"/>
      <c r="T402" s="188"/>
      <c r="U402" s="189"/>
    </row>
    <row r="403" spans="2:21" x14ac:dyDescent="0.35">
      <c r="B403" s="186"/>
      <c r="C403" s="163"/>
      <c r="D403" s="188"/>
      <c r="E403" s="188"/>
      <c r="F403" s="188"/>
      <c r="G403" s="188"/>
      <c r="H403" s="188"/>
      <c r="I403" s="188"/>
      <c r="J403" s="188"/>
      <c r="K403" s="188"/>
      <c r="L403" s="188"/>
      <c r="M403" s="188"/>
      <c r="N403" s="188"/>
      <c r="O403" s="188"/>
      <c r="P403" s="188"/>
      <c r="Q403" s="188"/>
      <c r="R403" s="188"/>
      <c r="S403" s="188"/>
      <c r="T403" s="188"/>
      <c r="U403" s="189"/>
    </row>
    <row r="404" spans="2:21" x14ac:dyDescent="0.35">
      <c r="B404" s="186"/>
      <c r="C404" s="163"/>
      <c r="D404" s="188"/>
      <c r="E404" s="188"/>
      <c r="F404" s="188"/>
      <c r="G404" s="188"/>
      <c r="H404" s="188"/>
      <c r="I404" s="188"/>
      <c r="J404" s="188"/>
      <c r="K404" s="188"/>
      <c r="L404" s="188"/>
      <c r="M404" s="188"/>
      <c r="N404" s="188"/>
      <c r="O404" s="188"/>
      <c r="P404" s="188"/>
      <c r="Q404" s="188"/>
      <c r="R404" s="188"/>
      <c r="S404" s="188"/>
      <c r="T404" s="188"/>
      <c r="U404" s="189"/>
    </row>
    <row r="405" spans="2:21" x14ac:dyDescent="0.35">
      <c r="B405" s="186"/>
      <c r="C405" s="163"/>
      <c r="D405" s="188"/>
      <c r="E405" s="188"/>
      <c r="F405" s="188"/>
      <c r="G405" s="188"/>
      <c r="H405" s="188"/>
      <c r="I405" s="188"/>
      <c r="J405" s="188"/>
      <c r="K405" s="188"/>
      <c r="L405" s="188"/>
      <c r="M405" s="188"/>
      <c r="N405" s="188"/>
      <c r="O405" s="188"/>
      <c r="P405" s="188"/>
      <c r="Q405" s="188"/>
      <c r="R405" s="188"/>
      <c r="S405" s="188"/>
      <c r="T405" s="188"/>
      <c r="U405" s="189"/>
    </row>
    <row r="406" spans="2:21" x14ac:dyDescent="0.35">
      <c r="B406" s="186"/>
      <c r="C406" s="163"/>
      <c r="D406" s="188"/>
      <c r="E406" s="188"/>
      <c r="F406" s="188"/>
      <c r="G406" s="188"/>
      <c r="H406" s="188"/>
      <c r="I406" s="188"/>
      <c r="J406" s="188"/>
      <c r="K406" s="188"/>
      <c r="L406" s="188"/>
      <c r="M406" s="188"/>
      <c r="N406" s="188"/>
      <c r="O406" s="188"/>
      <c r="P406" s="188"/>
      <c r="Q406" s="188"/>
      <c r="R406" s="188"/>
      <c r="S406" s="188"/>
      <c r="T406" s="188"/>
      <c r="U406" s="189"/>
    </row>
    <row r="407" spans="2:21" x14ac:dyDescent="0.35">
      <c r="B407" s="186"/>
      <c r="C407" s="163"/>
      <c r="D407" s="188"/>
      <c r="E407" s="188"/>
      <c r="F407" s="188"/>
      <c r="G407" s="188"/>
      <c r="H407" s="188"/>
      <c r="I407" s="188"/>
      <c r="J407" s="188"/>
      <c r="K407" s="188"/>
      <c r="L407" s="188"/>
      <c r="M407" s="188"/>
      <c r="N407" s="188"/>
      <c r="O407" s="188"/>
      <c r="P407" s="188"/>
      <c r="Q407" s="188"/>
      <c r="R407" s="188"/>
      <c r="S407" s="188"/>
      <c r="T407" s="188"/>
      <c r="U407" s="189"/>
    </row>
    <row r="408" spans="2:21" x14ac:dyDescent="0.35">
      <c r="B408" s="186"/>
      <c r="C408" s="163"/>
      <c r="D408" s="188"/>
      <c r="E408" s="188"/>
      <c r="F408" s="188"/>
      <c r="G408" s="188"/>
      <c r="H408" s="188"/>
      <c r="I408" s="188"/>
      <c r="J408" s="188"/>
      <c r="K408" s="188"/>
      <c r="L408" s="188"/>
      <c r="M408" s="188"/>
      <c r="N408" s="188"/>
      <c r="O408" s="188"/>
      <c r="P408" s="188"/>
      <c r="Q408" s="188"/>
      <c r="R408" s="188"/>
      <c r="S408" s="188"/>
      <c r="T408" s="188"/>
      <c r="U408" s="189"/>
    </row>
    <row r="409" spans="2:21" x14ac:dyDescent="0.35">
      <c r="B409" s="186"/>
      <c r="C409" s="163"/>
      <c r="D409" s="188"/>
      <c r="E409" s="188"/>
      <c r="F409" s="188"/>
      <c r="G409" s="188"/>
      <c r="H409" s="188"/>
      <c r="I409" s="188"/>
      <c r="J409" s="188"/>
      <c r="K409" s="188"/>
      <c r="L409" s="188"/>
      <c r="M409" s="188"/>
      <c r="N409" s="188"/>
      <c r="O409" s="188"/>
      <c r="P409" s="188"/>
      <c r="Q409" s="188"/>
      <c r="R409" s="188"/>
      <c r="S409" s="188"/>
      <c r="T409" s="188"/>
      <c r="U409" s="189"/>
    </row>
    <row r="410" spans="2:21" x14ac:dyDescent="0.35">
      <c r="B410" s="186"/>
      <c r="C410" s="163"/>
      <c r="D410" s="188"/>
      <c r="E410" s="188"/>
      <c r="F410" s="188"/>
      <c r="G410" s="188"/>
      <c r="H410" s="188"/>
      <c r="I410" s="188"/>
      <c r="J410" s="188"/>
      <c r="K410" s="188"/>
      <c r="L410" s="188"/>
      <c r="M410" s="188"/>
      <c r="N410" s="188"/>
      <c r="O410" s="188"/>
      <c r="P410" s="188"/>
      <c r="Q410" s="188"/>
      <c r="R410" s="188"/>
      <c r="S410" s="188"/>
      <c r="T410" s="188"/>
      <c r="U410" s="189"/>
    </row>
    <row r="411" spans="2:21" x14ac:dyDescent="0.35">
      <c r="B411" s="186"/>
      <c r="C411" s="163"/>
      <c r="D411" s="188"/>
      <c r="E411" s="188"/>
      <c r="F411" s="188"/>
      <c r="G411" s="188"/>
      <c r="H411" s="188"/>
      <c r="I411" s="188"/>
      <c r="J411" s="188"/>
      <c r="K411" s="188"/>
      <c r="L411" s="188"/>
      <c r="M411" s="188"/>
      <c r="N411" s="188"/>
      <c r="O411" s="188"/>
      <c r="P411" s="188"/>
      <c r="Q411" s="188"/>
      <c r="R411" s="188"/>
      <c r="S411" s="188"/>
      <c r="T411" s="188"/>
      <c r="U411" s="189"/>
    </row>
    <row r="412" spans="2:21" x14ac:dyDescent="0.35">
      <c r="B412" s="186"/>
      <c r="C412" s="163"/>
      <c r="D412" s="188"/>
      <c r="E412" s="188"/>
      <c r="F412" s="188"/>
      <c r="G412" s="188"/>
      <c r="H412" s="188"/>
      <c r="I412" s="188"/>
      <c r="J412" s="188"/>
      <c r="K412" s="188"/>
      <c r="L412" s="188"/>
      <c r="M412" s="188"/>
      <c r="N412" s="188"/>
      <c r="O412" s="188"/>
      <c r="P412" s="188"/>
      <c r="Q412" s="188"/>
      <c r="R412" s="188"/>
      <c r="S412" s="188"/>
      <c r="T412" s="188"/>
      <c r="U412" s="189"/>
    </row>
    <row r="413" spans="2:21" x14ac:dyDescent="0.35">
      <c r="B413" s="186"/>
      <c r="C413" s="163"/>
      <c r="D413" s="188"/>
      <c r="E413" s="188"/>
      <c r="F413" s="188"/>
      <c r="G413" s="188"/>
      <c r="H413" s="188"/>
      <c r="I413" s="188"/>
      <c r="J413" s="188"/>
      <c r="K413" s="188"/>
      <c r="L413" s="188"/>
      <c r="M413" s="188"/>
      <c r="N413" s="188"/>
      <c r="O413" s="188"/>
      <c r="P413" s="188"/>
      <c r="Q413" s="188"/>
      <c r="R413" s="188"/>
      <c r="S413" s="188"/>
      <c r="T413" s="188"/>
      <c r="U413" s="189"/>
    </row>
    <row r="414" spans="2:21" x14ac:dyDescent="0.35">
      <c r="B414" s="186"/>
      <c r="C414" s="163"/>
      <c r="D414" s="188"/>
      <c r="E414" s="188"/>
      <c r="F414" s="188"/>
      <c r="G414" s="188"/>
      <c r="H414" s="188"/>
      <c r="I414" s="188"/>
      <c r="J414" s="188"/>
      <c r="K414" s="188"/>
      <c r="L414" s="188"/>
      <c r="M414" s="188"/>
      <c r="N414" s="188"/>
      <c r="O414" s="188"/>
      <c r="P414" s="188"/>
      <c r="Q414" s="188"/>
      <c r="R414" s="188"/>
      <c r="S414" s="188"/>
      <c r="T414" s="188"/>
      <c r="U414" s="189"/>
    </row>
    <row r="415" spans="2:21" x14ac:dyDescent="0.35">
      <c r="B415" s="186"/>
      <c r="C415" s="163"/>
      <c r="D415" s="188"/>
      <c r="E415" s="188"/>
      <c r="F415" s="188"/>
      <c r="G415" s="188"/>
      <c r="H415" s="188"/>
      <c r="I415" s="188"/>
      <c r="J415" s="188"/>
      <c r="K415" s="188"/>
      <c r="L415" s="188"/>
      <c r="M415" s="188"/>
      <c r="N415" s="188"/>
      <c r="O415" s="188"/>
      <c r="P415" s="188"/>
      <c r="Q415" s="188"/>
      <c r="R415" s="188"/>
      <c r="S415" s="188"/>
      <c r="T415" s="188"/>
      <c r="U415" s="189"/>
    </row>
    <row r="416" spans="2:21" x14ac:dyDescent="0.35">
      <c r="B416" s="186"/>
      <c r="C416" s="163"/>
      <c r="D416" s="188"/>
      <c r="E416" s="188"/>
      <c r="F416" s="188"/>
      <c r="G416" s="188"/>
      <c r="H416" s="188"/>
      <c r="I416" s="188"/>
      <c r="J416" s="188"/>
      <c r="K416" s="188"/>
      <c r="L416" s="188"/>
      <c r="M416" s="188"/>
      <c r="N416" s="188"/>
      <c r="O416" s="188"/>
      <c r="P416" s="188"/>
      <c r="Q416" s="188"/>
      <c r="R416" s="188"/>
      <c r="S416" s="188"/>
      <c r="T416" s="188"/>
      <c r="U416" s="189"/>
    </row>
    <row r="417" spans="2:21" x14ac:dyDescent="0.35">
      <c r="B417" s="186"/>
      <c r="C417" s="163"/>
      <c r="D417" s="188"/>
      <c r="E417" s="188"/>
      <c r="F417" s="188"/>
      <c r="G417" s="188"/>
      <c r="H417" s="188"/>
      <c r="I417" s="188"/>
      <c r="J417" s="188"/>
      <c r="K417" s="188"/>
      <c r="L417" s="188"/>
      <c r="M417" s="188"/>
      <c r="N417" s="188"/>
      <c r="O417" s="188"/>
      <c r="P417" s="188"/>
      <c r="Q417" s="188"/>
      <c r="R417" s="188"/>
      <c r="S417" s="188"/>
      <c r="T417" s="188"/>
      <c r="U417" s="189"/>
    </row>
    <row r="418" spans="2:21" x14ac:dyDescent="0.35">
      <c r="B418" s="186"/>
      <c r="C418" s="163"/>
      <c r="D418" s="188"/>
      <c r="E418" s="188"/>
      <c r="F418" s="188"/>
      <c r="G418" s="188"/>
      <c r="H418" s="188"/>
      <c r="I418" s="188"/>
      <c r="J418" s="188"/>
      <c r="K418" s="188"/>
      <c r="L418" s="188"/>
      <c r="M418" s="188"/>
      <c r="N418" s="188"/>
      <c r="O418" s="188"/>
      <c r="P418" s="188"/>
      <c r="Q418" s="188"/>
      <c r="R418" s="188"/>
      <c r="S418" s="188"/>
      <c r="T418" s="188"/>
      <c r="U418" s="189"/>
    </row>
    <row r="419" spans="2:21" x14ac:dyDescent="0.35">
      <c r="B419" s="186"/>
      <c r="C419" s="163"/>
      <c r="D419" s="188"/>
      <c r="E419" s="188"/>
      <c r="F419" s="188"/>
      <c r="G419" s="188"/>
      <c r="H419" s="188"/>
      <c r="I419" s="188"/>
      <c r="J419" s="188"/>
      <c r="K419" s="188"/>
      <c r="L419" s="188"/>
      <c r="M419" s="188"/>
      <c r="N419" s="188"/>
      <c r="O419" s="188"/>
      <c r="P419" s="188"/>
      <c r="Q419" s="188"/>
      <c r="R419" s="188"/>
      <c r="S419" s="188"/>
      <c r="T419" s="188"/>
      <c r="U419" s="189"/>
    </row>
    <row r="420" spans="2:21" x14ac:dyDescent="0.35">
      <c r="B420" s="186"/>
      <c r="C420" s="163"/>
      <c r="D420" s="188"/>
      <c r="E420" s="188"/>
      <c r="F420" s="188"/>
      <c r="G420" s="188"/>
      <c r="H420" s="188"/>
      <c r="I420" s="188"/>
      <c r="J420" s="188"/>
      <c r="K420" s="188"/>
      <c r="L420" s="188"/>
      <c r="M420" s="188"/>
      <c r="N420" s="188"/>
      <c r="O420" s="188"/>
      <c r="P420" s="188"/>
      <c r="Q420" s="188"/>
      <c r="R420" s="188"/>
      <c r="S420" s="188"/>
      <c r="T420" s="188"/>
      <c r="U420" s="189"/>
    </row>
    <row r="421" spans="2:21" x14ac:dyDescent="0.35">
      <c r="B421" s="186"/>
      <c r="C421" s="163"/>
      <c r="D421" s="188"/>
      <c r="E421" s="188"/>
      <c r="F421" s="188"/>
      <c r="G421" s="188"/>
      <c r="H421" s="188"/>
      <c r="I421" s="188"/>
      <c r="J421" s="188"/>
      <c r="K421" s="188"/>
      <c r="L421" s="188"/>
      <c r="M421" s="188"/>
      <c r="N421" s="188"/>
      <c r="O421" s="188"/>
      <c r="P421" s="188"/>
      <c r="Q421" s="188"/>
      <c r="R421" s="188"/>
      <c r="S421" s="188"/>
      <c r="T421" s="188"/>
      <c r="U421" s="189"/>
    </row>
    <row r="422" spans="2:21" x14ac:dyDescent="0.35">
      <c r="B422" s="186"/>
      <c r="C422" s="163"/>
      <c r="D422" s="188"/>
      <c r="E422" s="188"/>
      <c r="F422" s="188"/>
      <c r="G422" s="188"/>
      <c r="H422" s="188"/>
      <c r="I422" s="188"/>
      <c r="J422" s="188"/>
      <c r="K422" s="188"/>
      <c r="L422" s="188"/>
      <c r="M422" s="188"/>
      <c r="N422" s="188"/>
      <c r="O422" s="188"/>
      <c r="P422" s="188"/>
      <c r="Q422" s="188"/>
      <c r="R422" s="188"/>
      <c r="S422" s="188"/>
      <c r="T422" s="188"/>
      <c r="U422" s="189"/>
    </row>
    <row r="423" spans="2:21" x14ac:dyDescent="0.35">
      <c r="B423" s="186"/>
      <c r="C423" s="163"/>
      <c r="D423" s="188"/>
      <c r="E423" s="188"/>
      <c r="F423" s="188"/>
      <c r="G423" s="188"/>
      <c r="H423" s="188"/>
      <c r="I423" s="188"/>
      <c r="J423" s="188"/>
      <c r="K423" s="188"/>
      <c r="L423" s="188"/>
      <c r="M423" s="188"/>
      <c r="N423" s="188"/>
      <c r="O423" s="188"/>
      <c r="P423" s="188"/>
      <c r="Q423" s="188"/>
      <c r="R423" s="188"/>
      <c r="S423" s="188"/>
      <c r="T423" s="188"/>
      <c r="U423" s="189"/>
    </row>
    <row r="424" spans="2:21" x14ac:dyDescent="0.35">
      <c r="B424" s="186"/>
      <c r="C424" s="163"/>
      <c r="D424" s="188"/>
      <c r="E424" s="188"/>
      <c r="F424" s="188"/>
      <c r="G424" s="188"/>
      <c r="H424" s="188"/>
      <c r="I424" s="188"/>
      <c r="J424" s="188"/>
      <c r="K424" s="188"/>
      <c r="L424" s="188"/>
      <c r="M424" s="188"/>
      <c r="N424" s="188"/>
      <c r="O424" s="188"/>
      <c r="P424" s="188"/>
      <c r="Q424" s="188"/>
      <c r="R424" s="188"/>
      <c r="S424" s="188"/>
      <c r="T424" s="188"/>
      <c r="U424" s="189"/>
    </row>
    <row r="425" spans="2:21" x14ac:dyDescent="0.35">
      <c r="B425" s="186"/>
      <c r="C425" s="163"/>
      <c r="D425" s="188"/>
      <c r="E425" s="188"/>
      <c r="F425" s="188"/>
      <c r="G425" s="188"/>
      <c r="H425" s="188"/>
      <c r="I425" s="188"/>
      <c r="J425" s="188"/>
      <c r="K425" s="188"/>
      <c r="L425" s="188"/>
      <c r="M425" s="188"/>
      <c r="N425" s="188"/>
      <c r="O425" s="188"/>
      <c r="P425" s="188"/>
      <c r="Q425" s="188"/>
      <c r="R425" s="188"/>
      <c r="S425" s="188"/>
      <c r="T425" s="188"/>
      <c r="U425" s="189"/>
    </row>
    <row r="426" spans="2:21" x14ac:dyDescent="0.35">
      <c r="B426" s="186"/>
      <c r="C426" s="163"/>
      <c r="D426" s="188"/>
      <c r="E426" s="188"/>
      <c r="F426" s="188"/>
      <c r="G426" s="188"/>
      <c r="H426" s="188"/>
      <c r="I426" s="188"/>
      <c r="J426" s="188"/>
      <c r="K426" s="188"/>
      <c r="L426" s="188"/>
      <c r="M426" s="188"/>
      <c r="N426" s="188"/>
      <c r="O426" s="188"/>
      <c r="P426" s="188"/>
      <c r="Q426" s="188"/>
      <c r="R426" s="188"/>
      <c r="S426" s="188"/>
      <c r="T426" s="188"/>
      <c r="U426" s="189"/>
    </row>
    <row r="427" spans="2:21" x14ac:dyDescent="0.35">
      <c r="B427" s="186"/>
      <c r="C427" s="163"/>
      <c r="D427" s="188"/>
      <c r="E427" s="188"/>
      <c r="F427" s="188"/>
      <c r="G427" s="188"/>
      <c r="H427" s="188"/>
      <c r="I427" s="188"/>
      <c r="J427" s="188"/>
      <c r="K427" s="188"/>
      <c r="L427" s="188"/>
      <c r="M427" s="188"/>
      <c r="N427" s="188"/>
      <c r="O427" s="188"/>
      <c r="P427" s="188"/>
      <c r="Q427" s="188"/>
      <c r="R427" s="188"/>
      <c r="S427" s="188"/>
      <c r="T427" s="188"/>
      <c r="U427" s="189"/>
    </row>
    <row r="428" spans="2:21" x14ac:dyDescent="0.35">
      <c r="B428" s="186"/>
      <c r="C428" s="163"/>
      <c r="D428" s="188"/>
      <c r="E428" s="188"/>
      <c r="F428" s="188"/>
      <c r="G428" s="188"/>
      <c r="H428" s="188"/>
      <c r="I428" s="188"/>
      <c r="J428" s="188"/>
      <c r="K428" s="188"/>
      <c r="L428" s="188"/>
      <c r="M428" s="188"/>
      <c r="N428" s="188"/>
      <c r="O428" s="188"/>
      <c r="P428" s="188"/>
      <c r="Q428" s="188"/>
      <c r="R428" s="188"/>
      <c r="S428" s="188"/>
      <c r="T428" s="188"/>
      <c r="U428" s="189"/>
    </row>
    <row r="429" spans="2:21" x14ac:dyDescent="0.35">
      <c r="B429" s="186"/>
      <c r="C429" s="163"/>
      <c r="D429" s="188"/>
      <c r="E429" s="188"/>
      <c r="F429" s="188"/>
      <c r="G429" s="188"/>
      <c r="H429" s="188"/>
      <c r="I429" s="188"/>
      <c r="J429" s="188"/>
      <c r="K429" s="188"/>
      <c r="L429" s="188"/>
      <c r="M429" s="188"/>
      <c r="N429" s="188"/>
      <c r="O429" s="188"/>
      <c r="P429" s="188"/>
      <c r="Q429" s="188"/>
      <c r="R429" s="188"/>
      <c r="S429" s="188"/>
      <c r="T429" s="188"/>
      <c r="U429" s="189"/>
    </row>
    <row r="430" spans="2:21" x14ac:dyDescent="0.35">
      <c r="B430" s="186"/>
      <c r="C430" s="163"/>
      <c r="D430" s="188"/>
      <c r="E430" s="188"/>
      <c r="F430" s="188"/>
      <c r="G430" s="188"/>
      <c r="H430" s="188"/>
      <c r="I430" s="188"/>
      <c r="J430" s="188"/>
      <c r="K430" s="188"/>
      <c r="L430" s="188"/>
      <c r="M430" s="188"/>
      <c r="N430" s="188"/>
      <c r="O430" s="188"/>
      <c r="P430" s="188"/>
      <c r="Q430" s="188"/>
      <c r="R430" s="188"/>
      <c r="S430" s="188"/>
      <c r="T430" s="188"/>
      <c r="U430" s="189"/>
    </row>
    <row r="431" spans="2:21" x14ac:dyDescent="0.35">
      <c r="B431" s="186"/>
      <c r="C431" s="163"/>
      <c r="D431" s="188"/>
      <c r="E431" s="188"/>
      <c r="F431" s="188"/>
      <c r="G431" s="188"/>
      <c r="H431" s="188"/>
      <c r="I431" s="188"/>
      <c r="J431" s="188"/>
      <c r="K431" s="188"/>
      <c r="L431" s="188"/>
      <c r="M431" s="188"/>
      <c r="N431" s="188"/>
      <c r="O431" s="188"/>
      <c r="P431" s="188"/>
      <c r="Q431" s="188"/>
      <c r="R431" s="188"/>
      <c r="S431" s="188"/>
      <c r="T431" s="188"/>
      <c r="U431" s="189"/>
    </row>
    <row r="432" spans="2:21" x14ac:dyDescent="0.35">
      <c r="B432" s="186"/>
      <c r="C432" s="163"/>
      <c r="D432" s="188"/>
      <c r="E432" s="188"/>
      <c r="F432" s="188"/>
      <c r="G432" s="188"/>
      <c r="H432" s="188"/>
      <c r="I432" s="188"/>
      <c r="J432" s="188"/>
      <c r="K432" s="188"/>
      <c r="L432" s="188"/>
      <c r="M432" s="188"/>
      <c r="N432" s="188"/>
      <c r="O432" s="188"/>
      <c r="P432" s="188"/>
      <c r="Q432" s="188"/>
      <c r="R432" s="188"/>
      <c r="S432" s="188"/>
      <c r="T432" s="188"/>
      <c r="U432" s="189"/>
    </row>
    <row r="433" spans="2:21" x14ac:dyDescent="0.35">
      <c r="B433" s="186"/>
      <c r="C433" s="163"/>
      <c r="D433" s="188"/>
      <c r="E433" s="188"/>
      <c r="F433" s="188"/>
      <c r="G433" s="188"/>
      <c r="H433" s="188"/>
      <c r="I433" s="188"/>
      <c r="J433" s="188"/>
      <c r="K433" s="188"/>
      <c r="L433" s="188"/>
      <c r="M433" s="188"/>
      <c r="N433" s="188"/>
      <c r="O433" s="188"/>
      <c r="P433" s="188"/>
      <c r="Q433" s="188"/>
      <c r="R433" s="188"/>
      <c r="S433" s="188"/>
      <c r="T433" s="188"/>
      <c r="U433" s="189"/>
    </row>
    <row r="434" spans="2:21" x14ac:dyDescent="0.35">
      <c r="B434" s="186"/>
      <c r="C434" s="163"/>
      <c r="D434" s="188"/>
      <c r="E434" s="188"/>
      <c r="F434" s="188"/>
      <c r="G434" s="188"/>
      <c r="H434" s="188"/>
      <c r="I434" s="188"/>
      <c r="J434" s="188"/>
      <c r="K434" s="188"/>
      <c r="L434" s="188"/>
      <c r="M434" s="188"/>
      <c r="N434" s="188"/>
      <c r="O434" s="188"/>
      <c r="P434" s="188"/>
      <c r="Q434" s="188"/>
      <c r="R434" s="188"/>
      <c r="S434" s="188"/>
      <c r="T434" s="188"/>
      <c r="U434" s="189"/>
    </row>
    <row r="435" spans="2:21" x14ac:dyDescent="0.35">
      <c r="B435" s="186"/>
      <c r="C435" s="163"/>
      <c r="D435" s="188"/>
      <c r="E435" s="188"/>
      <c r="F435" s="188"/>
      <c r="G435" s="188"/>
      <c r="H435" s="188"/>
      <c r="I435" s="188"/>
      <c r="J435" s="188"/>
      <c r="K435" s="188"/>
      <c r="L435" s="188"/>
      <c r="M435" s="188"/>
      <c r="N435" s="188"/>
      <c r="O435" s="188"/>
      <c r="P435" s="188"/>
      <c r="Q435" s="188"/>
      <c r="R435" s="188"/>
      <c r="S435" s="188"/>
      <c r="T435" s="188"/>
      <c r="U435" s="189"/>
    </row>
    <row r="436" spans="2:21" x14ac:dyDescent="0.35">
      <c r="B436" s="186"/>
      <c r="C436" s="163"/>
      <c r="D436" s="188"/>
      <c r="E436" s="188"/>
      <c r="F436" s="188"/>
      <c r="G436" s="188"/>
      <c r="H436" s="188"/>
      <c r="I436" s="188"/>
      <c r="J436" s="188"/>
      <c r="K436" s="188"/>
      <c r="L436" s="188"/>
      <c r="M436" s="188"/>
      <c r="N436" s="188"/>
      <c r="O436" s="188"/>
      <c r="P436" s="188"/>
      <c r="Q436" s="188"/>
      <c r="R436" s="188"/>
      <c r="S436" s="188"/>
      <c r="T436" s="188"/>
      <c r="U436" s="189"/>
    </row>
    <row r="437" spans="2:21" x14ac:dyDescent="0.35">
      <c r="B437" s="186"/>
      <c r="C437" s="163"/>
      <c r="D437" s="188"/>
      <c r="E437" s="188"/>
      <c r="F437" s="188"/>
      <c r="G437" s="188"/>
      <c r="H437" s="188"/>
      <c r="I437" s="188"/>
      <c r="J437" s="188"/>
      <c r="K437" s="188"/>
      <c r="L437" s="188"/>
      <c r="M437" s="188"/>
      <c r="N437" s="188"/>
      <c r="O437" s="188"/>
      <c r="P437" s="188"/>
      <c r="Q437" s="188"/>
      <c r="R437" s="188"/>
      <c r="S437" s="188"/>
      <c r="T437" s="188"/>
      <c r="U437" s="189"/>
    </row>
    <row r="438" spans="2:21" x14ac:dyDescent="0.35">
      <c r="B438" s="186"/>
      <c r="C438" s="163"/>
      <c r="D438" s="188"/>
      <c r="E438" s="188"/>
      <c r="F438" s="188"/>
      <c r="G438" s="188"/>
      <c r="H438" s="188"/>
      <c r="I438" s="188"/>
      <c r="J438" s="188"/>
      <c r="K438" s="188"/>
      <c r="L438" s="188"/>
      <c r="M438" s="188"/>
      <c r="N438" s="188"/>
      <c r="O438" s="188"/>
      <c r="P438" s="188"/>
      <c r="Q438" s="188"/>
      <c r="R438" s="188"/>
      <c r="S438" s="188"/>
      <c r="T438" s="188"/>
      <c r="U438" s="189"/>
    </row>
    <row r="439" spans="2:21" x14ac:dyDescent="0.35">
      <c r="B439" s="186"/>
      <c r="C439" s="163"/>
      <c r="D439" s="188"/>
      <c r="E439" s="188"/>
      <c r="F439" s="188"/>
      <c r="G439" s="188"/>
      <c r="H439" s="188"/>
      <c r="I439" s="188"/>
      <c r="J439" s="188"/>
      <c r="K439" s="188"/>
      <c r="L439" s="188"/>
      <c r="M439" s="188"/>
      <c r="N439" s="188"/>
      <c r="O439" s="188"/>
      <c r="P439" s="188"/>
      <c r="Q439" s="188"/>
      <c r="R439" s="188"/>
      <c r="S439" s="188"/>
      <c r="T439" s="188"/>
      <c r="U439" s="189"/>
    </row>
    <row r="440" spans="2:21" x14ac:dyDescent="0.35">
      <c r="B440" s="186"/>
      <c r="C440" s="163"/>
      <c r="D440" s="188"/>
      <c r="E440" s="188"/>
      <c r="F440" s="188"/>
      <c r="G440" s="188"/>
      <c r="H440" s="188"/>
      <c r="I440" s="188"/>
      <c r="J440" s="188"/>
      <c r="K440" s="188"/>
      <c r="L440" s="188"/>
      <c r="M440" s="188"/>
      <c r="N440" s="188"/>
      <c r="O440" s="188"/>
      <c r="P440" s="188"/>
      <c r="Q440" s="188"/>
      <c r="R440" s="188"/>
      <c r="S440" s="188"/>
      <c r="T440" s="188"/>
      <c r="U440" s="189"/>
    </row>
    <row r="441" spans="2:21" x14ac:dyDescent="0.35">
      <c r="B441" s="186"/>
      <c r="C441" s="163"/>
      <c r="D441" s="188"/>
      <c r="E441" s="188"/>
      <c r="F441" s="188"/>
      <c r="G441" s="188"/>
      <c r="H441" s="188"/>
      <c r="I441" s="188"/>
      <c r="J441" s="188"/>
      <c r="K441" s="188"/>
      <c r="L441" s="188"/>
      <c r="M441" s="188"/>
      <c r="N441" s="188"/>
      <c r="O441" s="188"/>
      <c r="P441" s="188"/>
      <c r="Q441" s="188"/>
      <c r="R441" s="188"/>
      <c r="S441" s="188"/>
      <c r="T441" s="188"/>
      <c r="U441" s="189"/>
    </row>
    <row r="442" spans="2:21" x14ac:dyDescent="0.35">
      <c r="B442" s="186"/>
      <c r="C442" s="163"/>
      <c r="D442" s="188"/>
      <c r="E442" s="188"/>
      <c r="F442" s="188"/>
      <c r="G442" s="188"/>
      <c r="H442" s="188"/>
      <c r="I442" s="188"/>
      <c r="J442" s="188"/>
      <c r="K442" s="188"/>
      <c r="L442" s="188"/>
      <c r="M442" s="188"/>
      <c r="N442" s="188"/>
      <c r="O442" s="188"/>
      <c r="P442" s="188"/>
      <c r="Q442" s="188"/>
      <c r="R442" s="188"/>
      <c r="S442" s="188"/>
      <c r="T442" s="188"/>
      <c r="U442" s="189"/>
    </row>
    <row r="443" spans="2:21" x14ac:dyDescent="0.35">
      <c r="B443" s="186"/>
      <c r="C443" s="163"/>
      <c r="D443" s="188"/>
      <c r="E443" s="188"/>
      <c r="F443" s="188"/>
      <c r="G443" s="188"/>
      <c r="H443" s="188"/>
      <c r="I443" s="188"/>
      <c r="J443" s="188"/>
      <c r="K443" s="188"/>
      <c r="L443" s="188"/>
      <c r="M443" s="188"/>
      <c r="N443" s="188"/>
      <c r="O443" s="188"/>
      <c r="P443" s="188"/>
      <c r="Q443" s="188"/>
      <c r="R443" s="188"/>
      <c r="S443" s="188"/>
      <c r="T443" s="188"/>
      <c r="U443" s="189"/>
    </row>
    <row r="444" spans="2:21" x14ac:dyDescent="0.35">
      <c r="B444" s="186"/>
      <c r="C444" s="163"/>
      <c r="D444" s="188"/>
      <c r="E444" s="188"/>
      <c r="F444" s="188"/>
      <c r="G444" s="188"/>
      <c r="H444" s="188"/>
      <c r="I444" s="188"/>
      <c r="J444" s="188"/>
      <c r="K444" s="188"/>
      <c r="L444" s="188"/>
      <c r="M444" s="188"/>
      <c r="N444" s="188"/>
      <c r="O444" s="188"/>
      <c r="P444" s="188"/>
      <c r="Q444" s="188"/>
      <c r="R444" s="188"/>
      <c r="S444" s="188"/>
      <c r="T444" s="188"/>
      <c r="U444" s="189"/>
    </row>
    <row r="445" spans="2:21" x14ac:dyDescent="0.35">
      <c r="B445" s="186"/>
      <c r="C445" s="163"/>
      <c r="D445" s="188"/>
      <c r="E445" s="188"/>
      <c r="F445" s="188"/>
      <c r="G445" s="188"/>
      <c r="H445" s="188"/>
      <c r="I445" s="188"/>
      <c r="J445" s="188"/>
      <c r="K445" s="188"/>
      <c r="L445" s="188"/>
      <c r="M445" s="188"/>
      <c r="N445" s="188"/>
      <c r="O445" s="188"/>
      <c r="P445" s="188"/>
      <c r="Q445" s="188"/>
      <c r="R445" s="188"/>
      <c r="S445" s="188"/>
      <c r="T445" s="188"/>
      <c r="U445" s="189"/>
    </row>
    <row r="446" spans="2:21" x14ac:dyDescent="0.35">
      <c r="B446" s="186"/>
      <c r="C446" s="163"/>
      <c r="D446" s="188"/>
      <c r="E446" s="188"/>
      <c r="F446" s="188"/>
      <c r="G446" s="188"/>
      <c r="H446" s="188"/>
      <c r="I446" s="188"/>
      <c r="J446" s="188"/>
      <c r="K446" s="188"/>
      <c r="L446" s="188"/>
      <c r="M446" s="188"/>
      <c r="N446" s="188"/>
      <c r="O446" s="188"/>
      <c r="P446" s="188"/>
      <c r="Q446" s="188"/>
      <c r="R446" s="188"/>
      <c r="S446" s="188"/>
      <c r="T446" s="188"/>
      <c r="U446" s="189"/>
    </row>
    <row r="447" spans="2:21" x14ac:dyDescent="0.35">
      <c r="B447" s="186"/>
      <c r="C447" s="163"/>
      <c r="D447" s="188"/>
      <c r="E447" s="188"/>
      <c r="F447" s="188"/>
      <c r="G447" s="188"/>
      <c r="H447" s="188"/>
      <c r="I447" s="188"/>
      <c r="J447" s="188"/>
      <c r="K447" s="188"/>
      <c r="L447" s="188"/>
      <c r="M447" s="188"/>
      <c r="N447" s="188"/>
      <c r="O447" s="188"/>
      <c r="P447" s="188"/>
      <c r="Q447" s="188"/>
      <c r="R447" s="188"/>
      <c r="S447" s="188"/>
      <c r="T447" s="188"/>
      <c r="U447" s="189"/>
    </row>
    <row r="448" spans="2:21" x14ac:dyDescent="0.35">
      <c r="B448" s="186"/>
      <c r="C448" s="163"/>
      <c r="D448" s="188"/>
      <c r="E448" s="188"/>
      <c r="F448" s="188"/>
      <c r="G448" s="188"/>
      <c r="H448" s="188"/>
      <c r="I448" s="188"/>
      <c r="J448" s="188"/>
      <c r="K448" s="188"/>
      <c r="L448" s="188"/>
      <c r="M448" s="188"/>
      <c r="N448" s="188"/>
      <c r="O448" s="188"/>
      <c r="P448" s="188"/>
      <c r="Q448" s="188"/>
      <c r="R448" s="188"/>
      <c r="S448" s="188"/>
      <c r="T448" s="188"/>
      <c r="U448" s="189"/>
    </row>
    <row r="449" spans="2:21" x14ac:dyDescent="0.35">
      <c r="B449" s="186"/>
      <c r="C449" s="163"/>
      <c r="D449" s="188"/>
      <c r="E449" s="188"/>
      <c r="F449" s="188"/>
      <c r="G449" s="188"/>
      <c r="H449" s="188"/>
      <c r="I449" s="188"/>
      <c r="J449" s="188"/>
      <c r="K449" s="188"/>
      <c r="L449" s="188"/>
      <c r="M449" s="188"/>
      <c r="N449" s="188"/>
      <c r="O449" s="188"/>
      <c r="P449" s="188"/>
      <c r="Q449" s="188"/>
      <c r="R449" s="188"/>
      <c r="S449" s="188"/>
      <c r="T449" s="188"/>
      <c r="U449" s="189"/>
    </row>
    <row r="450" spans="2:21" x14ac:dyDescent="0.35">
      <c r="B450" s="186"/>
      <c r="C450" s="163"/>
      <c r="D450" s="188"/>
      <c r="E450" s="188"/>
      <c r="F450" s="188"/>
      <c r="G450" s="188"/>
      <c r="H450" s="188"/>
      <c r="I450" s="188"/>
      <c r="J450" s="188"/>
      <c r="K450" s="188"/>
      <c r="L450" s="188"/>
      <c r="M450" s="188"/>
      <c r="N450" s="188"/>
      <c r="O450" s="188"/>
      <c r="P450" s="188"/>
      <c r="Q450" s="188"/>
      <c r="R450" s="188"/>
      <c r="S450" s="188"/>
      <c r="T450" s="188"/>
      <c r="U450" s="189"/>
    </row>
    <row r="451" spans="2:21" x14ac:dyDescent="0.35">
      <c r="B451" s="186"/>
      <c r="C451" s="163"/>
      <c r="D451" s="188"/>
      <c r="E451" s="188"/>
      <c r="F451" s="188"/>
      <c r="G451" s="188"/>
      <c r="H451" s="188"/>
      <c r="I451" s="188"/>
      <c r="J451" s="188"/>
      <c r="K451" s="188"/>
      <c r="L451" s="188"/>
      <c r="M451" s="188"/>
      <c r="N451" s="188"/>
      <c r="O451" s="188"/>
      <c r="P451" s="188"/>
      <c r="Q451" s="188"/>
      <c r="R451" s="188"/>
      <c r="S451" s="188"/>
      <c r="T451" s="188"/>
      <c r="U451" s="189"/>
    </row>
    <row r="452" spans="2:21" x14ac:dyDescent="0.35">
      <c r="B452" s="186"/>
      <c r="C452" s="163"/>
      <c r="D452" s="188"/>
      <c r="E452" s="188"/>
      <c r="F452" s="188"/>
      <c r="G452" s="188"/>
      <c r="H452" s="188"/>
      <c r="I452" s="188"/>
      <c r="J452" s="188"/>
      <c r="K452" s="188"/>
      <c r="L452" s="188"/>
      <c r="M452" s="188"/>
      <c r="N452" s="188"/>
      <c r="O452" s="188"/>
      <c r="P452" s="188"/>
      <c r="Q452" s="188"/>
      <c r="R452" s="188"/>
      <c r="S452" s="188"/>
      <c r="T452" s="188"/>
      <c r="U452" s="189"/>
    </row>
    <row r="453" spans="2:21" x14ac:dyDescent="0.35">
      <c r="B453" s="186"/>
      <c r="C453" s="163"/>
      <c r="D453" s="188"/>
      <c r="E453" s="188"/>
      <c r="F453" s="188"/>
      <c r="G453" s="188"/>
      <c r="H453" s="188"/>
      <c r="I453" s="188"/>
      <c r="J453" s="188"/>
      <c r="K453" s="188"/>
      <c r="L453" s="188"/>
      <c r="M453" s="188"/>
      <c r="N453" s="188"/>
      <c r="O453" s="188"/>
      <c r="P453" s="188"/>
      <c r="Q453" s="188"/>
      <c r="R453" s="188"/>
      <c r="S453" s="188"/>
      <c r="T453" s="188"/>
      <c r="U453" s="189"/>
    </row>
    <row r="454" spans="2:21" x14ac:dyDescent="0.35">
      <c r="B454" s="186"/>
      <c r="C454" s="163"/>
      <c r="D454" s="188"/>
      <c r="E454" s="188"/>
      <c r="F454" s="188"/>
      <c r="G454" s="188"/>
      <c r="H454" s="188"/>
      <c r="I454" s="188"/>
      <c r="J454" s="188"/>
      <c r="K454" s="188"/>
      <c r="L454" s="188"/>
      <c r="M454" s="188"/>
      <c r="N454" s="188"/>
      <c r="O454" s="188"/>
      <c r="P454" s="188"/>
      <c r="Q454" s="188"/>
      <c r="R454" s="188"/>
      <c r="S454" s="188"/>
      <c r="T454" s="188"/>
      <c r="U454" s="189"/>
    </row>
    <row r="455" spans="2:21" x14ac:dyDescent="0.35">
      <c r="B455" s="186"/>
      <c r="C455" s="163"/>
      <c r="D455" s="188"/>
      <c r="E455" s="188"/>
      <c r="F455" s="188"/>
      <c r="G455" s="188"/>
      <c r="H455" s="188"/>
      <c r="I455" s="188"/>
      <c r="J455" s="188"/>
      <c r="K455" s="188"/>
      <c r="L455" s="188"/>
      <c r="M455" s="188"/>
      <c r="N455" s="188"/>
      <c r="O455" s="188"/>
      <c r="P455" s="188"/>
      <c r="Q455" s="188"/>
      <c r="R455" s="188"/>
      <c r="S455" s="188"/>
      <c r="T455" s="188"/>
      <c r="U455" s="189"/>
    </row>
    <row r="456" spans="2:21" x14ac:dyDescent="0.35">
      <c r="B456" s="186"/>
      <c r="C456" s="163"/>
      <c r="D456" s="188"/>
      <c r="E456" s="188"/>
      <c r="F456" s="188"/>
      <c r="G456" s="188"/>
      <c r="H456" s="188"/>
      <c r="I456" s="188"/>
      <c r="J456" s="188"/>
      <c r="K456" s="188"/>
      <c r="L456" s="188"/>
      <c r="M456" s="188"/>
      <c r="N456" s="188"/>
      <c r="O456" s="188"/>
      <c r="P456" s="188"/>
      <c r="Q456" s="188"/>
      <c r="R456" s="188"/>
      <c r="S456" s="188"/>
      <c r="T456" s="188"/>
      <c r="U456" s="189"/>
    </row>
    <row r="457" spans="2:21" x14ac:dyDescent="0.35">
      <c r="B457" s="186"/>
      <c r="C457" s="163"/>
      <c r="D457" s="188"/>
      <c r="E457" s="188"/>
      <c r="F457" s="188"/>
      <c r="G457" s="188"/>
      <c r="H457" s="188"/>
      <c r="I457" s="188"/>
      <c r="J457" s="188"/>
      <c r="K457" s="188"/>
      <c r="L457" s="188"/>
      <c r="M457" s="188"/>
      <c r="N457" s="188"/>
      <c r="O457" s="188"/>
      <c r="P457" s="188"/>
      <c r="Q457" s="188"/>
      <c r="R457" s="188"/>
      <c r="S457" s="188"/>
      <c r="T457" s="188"/>
      <c r="U457" s="189"/>
    </row>
    <row r="458" spans="2:21" x14ac:dyDescent="0.35">
      <c r="B458" s="186"/>
      <c r="C458" s="163"/>
      <c r="D458" s="188"/>
      <c r="E458" s="188"/>
      <c r="F458" s="188"/>
      <c r="G458" s="188"/>
      <c r="H458" s="188"/>
      <c r="I458" s="188"/>
      <c r="J458" s="188"/>
      <c r="K458" s="188"/>
      <c r="L458" s="188"/>
      <c r="M458" s="188"/>
      <c r="N458" s="188"/>
      <c r="O458" s="188"/>
      <c r="P458" s="188"/>
      <c r="Q458" s="188"/>
      <c r="R458" s="188"/>
      <c r="S458" s="188"/>
      <c r="T458" s="188"/>
      <c r="U458" s="189"/>
    </row>
    <row r="459" spans="2:21" x14ac:dyDescent="0.35">
      <c r="B459" s="186"/>
      <c r="C459" s="163"/>
      <c r="D459" s="188"/>
      <c r="E459" s="188"/>
      <c r="F459" s="188"/>
      <c r="G459" s="188"/>
      <c r="H459" s="188"/>
      <c r="I459" s="188"/>
      <c r="J459" s="188"/>
      <c r="K459" s="188"/>
      <c r="L459" s="188"/>
      <c r="M459" s="188"/>
      <c r="N459" s="188"/>
      <c r="O459" s="188"/>
      <c r="P459" s="188"/>
      <c r="Q459" s="188"/>
      <c r="R459" s="188"/>
      <c r="S459" s="188"/>
      <c r="T459" s="188"/>
      <c r="U459" s="189"/>
    </row>
    <row r="460" spans="2:21" x14ac:dyDescent="0.35">
      <c r="B460" s="186"/>
      <c r="C460" s="163"/>
      <c r="D460" s="188"/>
      <c r="E460" s="188"/>
      <c r="F460" s="188"/>
      <c r="G460" s="188"/>
      <c r="H460" s="188"/>
      <c r="I460" s="188"/>
      <c r="J460" s="188"/>
      <c r="K460" s="188"/>
      <c r="L460" s="188"/>
      <c r="M460" s="188"/>
      <c r="N460" s="188"/>
      <c r="O460" s="188"/>
      <c r="P460" s="188"/>
      <c r="Q460" s="188"/>
      <c r="R460" s="188"/>
      <c r="S460" s="188"/>
      <c r="T460" s="188"/>
      <c r="U460" s="189"/>
    </row>
    <row r="461" spans="2:21" x14ac:dyDescent="0.35">
      <c r="B461" s="186"/>
      <c r="C461" s="163"/>
      <c r="D461" s="188"/>
      <c r="E461" s="188"/>
      <c r="F461" s="188"/>
      <c r="G461" s="188"/>
      <c r="H461" s="188"/>
      <c r="I461" s="188"/>
      <c r="J461" s="188"/>
      <c r="K461" s="188"/>
      <c r="L461" s="188"/>
      <c r="M461" s="188"/>
      <c r="N461" s="188"/>
      <c r="O461" s="188"/>
      <c r="P461" s="188"/>
      <c r="Q461" s="188"/>
      <c r="R461" s="188"/>
      <c r="S461" s="188"/>
      <c r="T461" s="188"/>
      <c r="U461" s="189"/>
    </row>
    <row r="462" spans="2:21" x14ac:dyDescent="0.35">
      <c r="B462" s="186"/>
      <c r="C462" s="163"/>
      <c r="D462" s="188"/>
      <c r="E462" s="188"/>
      <c r="F462" s="188"/>
      <c r="G462" s="188"/>
      <c r="H462" s="188"/>
      <c r="I462" s="188"/>
      <c r="J462" s="188"/>
      <c r="K462" s="188"/>
      <c r="L462" s="188"/>
      <c r="M462" s="188"/>
      <c r="N462" s="188"/>
      <c r="O462" s="188"/>
      <c r="P462" s="188"/>
      <c r="Q462" s="188"/>
      <c r="R462" s="188"/>
      <c r="S462" s="188"/>
      <c r="T462" s="188"/>
      <c r="U462" s="189"/>
    </row>
    <row r="463" spans="2:21" x14ac:dyDescent="0.35">
      <c r="B463" s="186"/>
      <c r="C463" s="163"/>
      <c r="D463" s="188"/>
      <c r="E463" s="188"/>
      <c r="F463" s="188"/>
      <c r="G463" s="188"/>
      <c r="H463" s="188"/>
      <c r="I463" s="188"/>
      <c r="J463" s="188"/>
      <c r="K463" s="188"/>
      <c r="L463" s="188"/>
      <c r="M463" s="188"/>
      <c r="N463" s="188"/>
      <c r="O463" s="188"/>
      <c r="P463" s="188"/>
      <c r="Q463" s="188"/>
      <c r="R463" s="188"/>
      <c r="S463" s="188"/>
      <c r="T463" s="188"/>
      <c r="U463" s="189"/>
    </row>
    <row r="464" spans="2:21" x14ac:dyDescent="0.35">
      <c r="B464" s="186"/>
      <c r="C464" s="163"/>
      <c r="D464" s="188"/>
      <c r="E464" s="188"/>
      <c r="F464" s="188"/>
      <c r="G464" s="188"/>
      <c r="H464" s="188"/>
      <c r="I464" s="188"/>
      <c r="J464" s="188"/>
      <c r="K464" s="188"/>
      <c r="L464" s="188"/>
      <c r="M464" s="188"/>
      <c r="N464" s="188"/>
      <c r="O464" s="188"/>
      <c r="P464" s="188"/>
      <c r="Q464" s="188"/>
      <c r="R464" s="188"/>
      <c r="S464" s="188"/>
      <c r="T464" s="188"/>
      <c r="U464" s="189"/>
    </row>
    <row r="465" spans="2:21" x14ac:dyDescent="0.35">
      <c r="B465" s="186"/>
      <c r="C465" s="163"/>
      <c r="D465" s="188"/>
      <c r="E465" s="188"/>
      <c r="F465" s="188"/>
      <c r="G465" s="188"/>
      <c r="H465" s="188"/>
      <c r="I465" s="188"/>
      <c r="J465" s="188"/>
      <c r="K465" s="188"/>
      <c r="L465" s="188"/>
      <c r="M465" s="188"/>
      <c r="N465" s="188"/>
      <c r="O465" s="188"/>
      <c r="P465" s="188"/>
      <c r="Q465" s="188"/>
      <c r="R465" s="188"/>
      <c r="S465" s="188"/>
      <c r="T465" s="188"/>
      <c r="U465" s="189"/>
    </row>
    <row r="466" spans="2:21" x14ac:dyDescent="0.35">
      <c r="B466" s="186"/>
      <c r="C466" s="163"/>
      <c r="D466" s="188"/>
      <c r="E466" s="188"/>
      <c r="F466" s="188"/>
      <c r="G466" s="188"/>
      <c r="H466" s="188"/>
      <c r="I466" s="188"/>
      <c r="J466" s="188"/>
      <c r="K466" s="188"/>
      <c r="L466" s="188"/>
      <c r="M466" s="188"/>
      <c r="N466" s="188"/>
      <c r="O466" s="188"/>
      <c r="P466" s="188"/>
      <c r="Q466" s="188"/>
      <c r="R466" s="188"/>
      <c r="S466" s="188"/>
      <c r="T466" s="188"/>
      <c r="U466" s="189"/>
    </row>
    <row r="467" spans="2:21" x14ac:dyDescent="0.35">
      <c r="B467" s="186"/>
      <c r="C467" s="163"/>
      <c r="D467" s="188"/>
      <c r="E467" s="188"/>
      <c r="F467" s="188"/>
      <c r="G467" s="188"/>
      <c r="H467" s="188"/>
      <c r="I467" s="188"/>
      <c r="J467" s="188"/>
      <c r="K467" s="188"/>
      <c r="L467" s="188"/>
      <c r="M467" s="188"/>
      <c r="N467" s="188"/>
      <c r="O467" s="188"/>
      <c r="P467" s="188"/>
      <c r="Q467" s="188"/>
      <c r="R467" s="188"/>
      <c r="S467" s="188"/>
      <c r="T467" s="188"/>
      <c r="U467" s="189"/>
    </row>
    <row r="468" spans="2:21" x14ac:dyDescent="0.35">
      <c r="B468" s="186"/>
      <c r="C468" s="163"/>
      <c r="D468" s="188"/>
      <c r="E468" s="188"/>
      <c r="F468" s="188"/>
      <c r="G468" s="188"/>
      <c r="H468" s="188"/>
      <c r="I468" s="188"/>
      <c r="J468" s="188"/>
      <c r="K468" s="188"/>
      <c r="L468" s="188"/>
      <c r="M468" s="188"/>
      <c r="N468" s="188"/>
      <c r="O468" s="188"/>
      <c r="P468" s="188"/>
      <c r="Q468" s="188"/>
      <c r="R468" s="188"/>
      <c r="S468" s="188"/>
      <c r="T468" s="188"/>
      <c r="U468" s="189"/>
    </row>
    <row r="469" spans="2:21" x14ac:dyDescent="0.35">
      <c r="B469" s="186"/>
      <c r="C469" s="163"/>
      <c r="D469" s="188"/>
      <c r="E469" s="188"/>
      <c r="F469" s="188"/>
      <c r="G469" s="188"/>
      <c r="H469" s="188"/>
      <c r="I469" s="188"/>
      <c r="J469" s="188"/>
      <c r="K469" s="188"/>
      <c r="L469" s="188"/>
      <c r="M469" s="188"/>
      <c r="N469" s="188"/>
      <c r="O469" s="188"/>
      <c r="P469" s="188"/>
      <c r="Q469" s="188"/>
      <c r="R469" s="188"/>
      <c r="S469" s="188"/>
      <c r="T469" s="188"/>
      <c r="U469" s="189"/>
    </row>
    <row r="470" spans="2:21" x14ac:dyDescent="0.35">
      <c r="B470" s="186"/>
      <c r="C470" s="163"/>
      <c r="D470" s="188"/>
      <c r="E470" s="188"/>
      <c r="F470" s="188"/>
      <c r="G470" s="188"/>
      <c r="H470" s="188"/>
      <c r="I470" s="188"/>
      <c r="J470" s="188"/>
      <c r="K470" s="188"/>
      <c r="L470" s="188"/>
      <c r="M470" s="188"/>
      <c r="N470" s="188"/>
      <c r="O470" s="188"/>
      <c r="P470" s="188"/>
      <c r="Q470" s="188"/>
      <c r="R470" s="188"/>
      <c r="S470" s="188"/>
      <c r="T470" s="188"/>
      <c r="U470" s="189"/>
    </row>
    <row r="471" spans="2:21" x14ac:dyDescent="0.35">
      <c r="B471" s="186"/>
      <c r="C471" s="163"/>
      <c r="D471" s="188"/>
      <c r="E471" s="188"/>
      <c r="F471" s="188"/>
      <c r="G471" s="188"/>
      <c r="H471" s="188"/>
      <c r="I471" s="188"/>
      <c r="J471" s="188"/>
      <c r="K471" s="188"/>
      <c r="L471" s="188"/>
      <c r="M471" s="188"/>
      <c r="N471" s="188"/>
      <c r="O471" s="188"/>
      <c r="P471" s="188"/>
      <c r="Q471" s="188"/>
      <c r="R471" s="188"/>
      <c r="S471" s="188"/>
      <c r="T471" s="188"/>
      <c r="U471" s="189"/>
    </row>
    <row r="472" spans="2:21" x14ac:dyDescent="0.35">
      <c r="B472" s="186"/>
      <c r="C472" s="163"/>
      <c r="D472" s="188"/>
      <c r="E472" s="188"/>
      <c r="F472" s="188"/>
      <c r="G472" s="188"/>
      <c r="H472" s="188"/>
      <c r="I472" s="188"/>
      <c r="J472" s="188"/>
      <c r="K472" s="188"/>
      <c r="L472" s="188"/>
      <c r="M472" s="188"/>
      <c r="N472" s="188"/>
      <c r="O472" s="188"/>
      <c r="P472" s="188"/>
      <c r="Q472" s="188"/>
      <c r="R472" s="188"/>
      <c r="S472" s="188"/>
      <c r="T472" s="188"/>
      <c r="U472" s="189"/>
    </row>
    <row r="473" spans="2:21" x14ac:dyDescent="0.35">
      <c r="B473" s="186"/>
      <c r="C473" s="163"/>
      <c r="D473" s="188"/>
      <c r="E473" s="188"/>
      <c r="F473" s="188"/>
      <c r="G473" s="188"/>
      <c r="H473" s="188"/>
      <c r="I473" s="188"/>
      <c r="J473" s="188"/>
      <c r="K473" s="188"/>
      <c r="L473" s="188"/>
      <c r="M473" s="188"/>
      <c r="N473" s="188"/>
      <c r="O473" s="188"/>
      <c r="P473" s="188"/>
      <c r="Q473" s="188"/>
      <c r="R473" s="188"/>
      <c r="S473" s="188"/>
      <c r="T473" s="188"/>
      <c r="U473" s="189"/>
    </row>
    <row r="474" spans="2:21" x14ac:dyDescent="0.35">
      <c r="B474" s="186"/>
      <c r="C474" s="163"/>
      <c r="D474" s="188"/>
      <c r="E474" s="188"/>
      <c r="F474" s="188"/>
      <c r="G474" s="188"/>
      <c r="H474" s="188"/>
      <c r="I474" s="188"/>
      <c r="J474" s="188"/>
      <c r="K474" s="188"/>
      <c r="L474" s="188"/>
      <c r="M474" s="188"/>
      <c r="N474" s="188"/>
      <c r="O474" s="188"/>
      <c r="P474" s="188"/>
      <c r="Q474" s="188"/>
      <c r="R474" s="188"/>
      <c r="S474" s="188"/>
      <c r="T474" s="188"/>
      <c r="U474" s="189"/>
    </row>
    <row r="475" spans="2:21" x14ac:dyDescent="0.35">
      <c r="B475" s="186"/>
      <c r="C475" s="163"/>
      <c r="D475" s="188"/>
      <c r="E475" s="188"/>
      <c r="F475" s="188"/>
      <c r="G475" s="188"/>
      <c r="H475" s="188"/>
      <c r="I475" s="188"/>
      <c r="J475" s="188"/>
      <c r="K475" s="188"/>
      <c r="L475" s="188"/>
      <c r="M475" s="188"/>
      <c r="N475" s="188"/>
      <c r="O475" s="188"/>
      <c r="P475" s="188"/>
      <c r="Q475" s="188"/>
      <c r="R475" s="188"/>
      <c r="S475" s="188"/>
      <c r="T475" s="188"/>
      <c r="U475" s="189"/>
    </row>
    <row r="476" spans="2:21" x14ac:dyDescent="0.35">
      <c r="B476" s="186"/>
      <c r="C476" s="163"/>
      <c r="D476" s="188"/>
      <c r="E476" s="188"/>
      <c r="F476" s="188"/>
      <c r="G476" s="188"/>
      <c r="H476" s="188"/>
      <c r="I476" s="188"/>
      <c r="J476" s="188"/>
      <c r="K476" s="188"/>
      <c r="L476" s="188"/>
      <c r="M476" s="188"/>
      <c r="N476" s="188"/>
      <c r="O476" s="188"/>
      <c r="P476" s="188"/>
      <c r="Q476" s="188"/>
      <c r="R476" s="188"/>
      <c r="S476" s="188"/>
      <c r="T476" s="188"/>
      <c r="U476" s="189"/>
    </row>
    <row r="477" spans="2:21" x14ac:dyDescent="0.35">
      <c r="B477" s="186"/>
      <c r="C477" s="163"/>
      <c r="D477" s="188"/>
      <c r="E477" s="188"/>
      <c r="F477" s="188"/>
      <c r="G477" s="188"/>
      <c r="H477" s="188"/>
      <c r="I477" s="188"/>
      <c r="J477" s="188"/>
      <c r="K477" s="188"/>
      <c r="L477" s="188"/>
      <c r="M477" s="188"/>
      <c r="N477" s="188"/>
      <c r="O477" s="188"/>
      <c r="P477" s="188"/>
      <c r="Q477" s="188"/>
      <c r="R477" s="188"/>
      <c r="S477" s="188"/>
      <c r="T477" s="188"/>
      <c r="U477" s="189"/>
    </row>
    <row r="478" spans="2:21" x14ac:dyDescent="0.35">
      <c r="B478" s="186"/>
      <c r="C478" s="163"/>
      <c r="D478" s="188"/>
      <c r="E478" s="188"/>
      <c r="F478" s="188"/>
      <c r="G478" s="188"/>
      <c r="H478" s="188"/>
      <c r="I478" s="188"/>
      <c r="J478" s="188"/>
      <c r="K478" s="188"/>
      <c r="L478" s="188"/>
      <c r="M478" s="188"/>
      <c r="N478" s="188"/>
      <c r="O478" s="188"/>
      <c r="P478" s="188"/>
      <c r="Q478" s="188"/>
      <c r="R478" s="188"/>
      <c r="S478" s="188"/>
      <c r="T478" s="188"/>
      <c r="U478" s="189"/>
    </row>
    <row r="479" spans="2:21" x14ac:dyDescent="0.35">
      <c r="B479" s="186"/>
      <c r="C479" s="163"/>
      <c r="D479" s="188"/>
      <c r="E479" s="188"/>
      <c r="F479" s="188"/>
      <c r="G479" s="188"/>
      <c r="H479" s="188"/>
      <c r="I479" s="188"/>
      <c r="J479" s="188"/>
      <c r="K479" s="188"/>
      <c r="L479" s="188"/>
      <c r="M479" s="188"/>
      <c r="N479" s="188"/>
      <c r="O479" s="188"/>
      <c r="P479" s="188"/>
      <c r="Q479" s="188"/>
      <c r="R479" s="188"/>
      <c r="S479" s="188"/>
      <c r="T479" s="188"/>
      <c r="U479" s="189"/>
    </row>
    <row r="480" spans="2:21" x14ac:dyDescent="0.35">
      <c r="B480" s="186"/>
      <c r="C480" s="163"/>
      <c r="D480" s="188"/>
      <c r="E480" s="188"/>
      <c r="F480" s="188"/>
      <c r="G480" s="188"/>
      <c r="H480" s="188"/>
      <c r="I480" s="188"/>
      <c r="J480" s="188"/>
      <c r="K480" s="188"/>
      <c r="L480" s="188"/>
      <c r="M480" s="188"/>
      <c r="N480" s="188"/>
      <c r="O480" s="188"/>
      <c r="P480" s="188"/>
      <c r="Q480" s="188"/>
      <c r="R480" s="188"/>
      <c r="S480" s="188"/>
      <c r="T480" s="188"/>
      <c r="U480" s="189"/>
    </row>
    <row r="481" spans="2:21" x14ac:dyDescent="0.35">
      <c r="B481" s="186"/>
      <c r="C481" s="163"/>
      <c r="D481" s="188"/>
      <c r="E481" s="188"/>
      <c r="F481" s="188"/>
      <c r="G481" s="188"/>
      <c r="H481" s="188"/>
      <c r="I481" s="188"/>
      <c r="J481" s="188"/>
      <c r="K481" s="188"/>
      <c r="L481" s="188"/>
      <c r="M481" s="188"/>
      <c r="N481" s="188"/>
      <c r="O481" s="188"/>
      <c r="P481" s="188"/>
      <c r="Q481" s="188"/>
      <c r="R481" s="188"/>
      <c r="S481" s="188"/>
      <c r="T481" s="188"/>
      <c r="U481" s="189"/>
    </row>
    <row r="482" spans="2:21" x14ac:dyDescent="0.35">
      <c r="B482" s="186"/>
      <c r="C482" s="163"/>
      <c r="D482" s="188"/>
      <c r="E482" s="188"/>
      <c r="F482" s="188"/>
      <c r="G482" s="188"/>
      <c r="H482" s="188"/>
      <c r="I482" s="188"/>
      <c r="J482" s="188"/>
      <c r="K482" s="188"/>
      <c r="L482" s="188"/>
      <c r="M482" s="188"/>
      <c r="N482" s="188"/>
      <c r="O482" s="188"/>
      <c r="P482" s="188"/>
      <c r="Q482" s="188"/>
      <c r="R482" s="188"/>
      <c r="S482" s="188"/>
      <c r="T482" s="188"/>
      <c r="U482" s="189"/>
    </row>
    <row r="483" spans="2:21" x14ac:dyDescent="0.35">
      <c r="B483" s="186"/>
      <c r="C483" s="163"/>
      <c r="D483" s="188"/>
      <c r="E483" s="188"/>
      <c r="F483" s="188"/>
      <c r="G483" s="188"/>
      <c r="H483" s="188"/>
      <c r="I483" s="188"/>
      <c r="J483" s="188"/>
      <c r="K483" s="188"/>
      <c r="L483" s="188"/>
      <c r="M483" s="188"/>
      <c r="N483" s="188"/>
      <c r="O483" s="188"/>
      <c r="P483" s="188"/>
      <c r="Q483" s="188"/>
      <c r="R483" s="188"/>
      <c r="S483" s="188"/>
      <c r="T483" s="188"/>
      <c r="U483" s="189"/>
    </row>
    <row r="484" spans="2:21" x14ac:dyDescent="0.35">
      <c r="B484" s="186"/>
      <c r="C484" s="163"/>
      <c r="D484" s="188"/>
      <c r="E484" s="188"/>
      <c r="F484" s="188"/>
      <c r="G484" s="188"/>
      <c r="H484" s="188"/>
      <c r="I484" s="188"/>
      <c r="J484" s="188"/>
      <c r="K484" s="188"/>
      <c r="L484" s="188"/>
      <c r="M484" s="188"/>
      <c r="N484" s="188"/>
      <c r="O484" s="188"/>
      <c r="P484" s="188"/>
      <c r="Q484" s="188"/>
      <c r="R484" s="188"/>
      <c r="S484" s="188"/>
      <c r="T484" s="188"/>
      <c r="U484" s="189"/>
    </row>
    <row r="485" spans="2:21" x14ac:dyDescent="0.35">
      <c r="B485" s="186"/>
      <c r="C485" s="163"/>
      <c r="D485" s="188"/>
      <c r="E485" s="188"/>
      <c r="F485" s="188"/>
      <c r="G485" s="188"/>
      <c r="H485" s="188"/>
      <c r="I485" s="188"/>
      <c r="J485" s="188"/>
      <c r="K485" s="188"/>
      <c r="L485" s="188"/>
      <c r="M485" s="188"/>
      <c r="N485" s="188"/>
      <c r="O485" s="188"/>
      <c r="P485" s="188"/>
      <c r="Q485" s="188"/>
      <c r="R485" s="188"/>
      <c r="S485" s="188"/>
      <c r="T485" s="188"/>
      <c r="U485" s="189"/>
    </row>
    <row r="486" spans="2:21" x14ac:dyDescent="0.35">
      <c r="B486" s="186"/>
      <c r="C486" s="163"/>
      <c r="D486" s="188"/>
      <c r="E486" s="188"/>
      <c r="F486" s="188"/>
      <c r="G486" s="188"/>
      <c r="H486" s="188"/>
      <c r="I486" s="188"/>
      <c r="J486" s="188"/>
      <c r="K486" s="188"/>
      <c r="L486" s="188"/>
      <c r="M486" s="188"/>
      <c r="N486" s="188"/>
      <c r="O486" s="188"/>
      <c r="P486" s="188"/>
      <c r="Q486" s="188"/>
      <c r="R486" s="188"/>
      <c r="S486" s="188"/>
      <c r="T486" s="188"/>
      <c r="U486" s="189"/>
    </row>
    <row r="487" spans="2:21" x14ac:dyDescent="0.35">
      <c r="B487" s="186"/>
      <c r="C487" s="163"/>
      <c r="D487" s="188"/>
      <c r="E487" s="188"/>
      <c r="F487" s="188"/>
      <c r="G487" s="188"/>
      <c r="H487" s="188"/>
      <c r="I487" s="188"/>
      <c r="J487" s="188"/>
      <c r="K487" s="188"/>
      <c r="L487" s="188"/>
      <c r="M487" s="188"/>
      <c r="N487" s="188"/>
      <c r="O487" s="188"/>
      <c r="P487" s="188"/>
      <c r="Q487" s="188"/>
      <c r="R487" s="188"/>
      <c r="S487" s="188"/>
      <c r="T487" s="188"/>
      <c r="U487" s="189"/>
    </row>
    <row r="488" spans="2:21" x14ac:dyDescent="0.35">
      <c r="B488" s="186"/>
      <c r="C488" s="163"/>
      <c r="D488" s="188"/>
      <c r="E488" s="188"/>
      <c r="F488" s="188"/>
      <c r="G488" s="188"/>
      <c r="H488" s="188"/>
      <c r="I488" s="188"/>
      <c r="J488" s="188"/>
      <c r="K488" s="188"/>
      <c r="L488" s="188"/>
      <c r="M488" s="188"/>
      <c r="N488" s="188"/>
      <c r="O488" s="188"/>
      <c r="P488" s="188"/>
      <c r="Q488" s="188"/>
      <c r="R488" s="188"/>
      <c r="S488" s="188"/>
      <c r="T488" s="188"/>
      <c r="U488" s="189"/>
    </row>
    <row r="489" spans="2:21" x14ac:dyDescent="0.35">
      <c r="B489" s="186"/>
      <c r="C489" s="163"/>
      <c r="D489" s="188"/>
      <c r="E489" s="188"/>
      <c r="F489" s="188"/>
      <c r="G489" s="188"/>
      <c r="H489" s="188"/>
      <c r="I489" s="188"/>
      <c r="J489" s="188"/>
      <c r="K489" s="188"/>
      <c r="L489" s="188"/>
      <c r="M489" s="188"/>
      <c r="N489" s="188"/>
      <c r="O489" s="188"/>
      <c r="P489" s="188"/>
      <c r="Q489" s="188"/>
      <c r="R489" s="188"/>
      <c r="S489" s="188"/>
      <c r="T489" s="188"/>
      <c r="U489" s="189"/>
    </row>
    <row r="490" spans="2:21" x14ac:dyDescent="0.35">
      <c r="B490" s="186"/>
      <c r="C490" s="163"/>
      <c r="D490" s="188"/>
      <c r="E490" s="188"/>
      <c r="F490" s="188"/>
      <c r="G490" s="188"/>
      <c r="H490" s="188"/>
      <c r="I490" s="188"/>
      <c r="J490" s="188"/>
      <c r="K490" s="188"/>
      <c r="L490" s="188"/>
      <c r="M490" s="188"/>
      <c r="N490" s="188"/>
      <c r="O490" s="188"/>
      <c r="P490" s="188"/>
      <c r="Q490" s="188"/>
      <c r="R490" s="188"/>
      <c r="S490" s="188"/>
      <c r="T490" s="188"/>
      <c r="U490" s="189"/>
    </row>
    <row r="491" spans="2:21" x14ac:dyDescent="0.35">
      <c r="B491" s="186"/>
      <c r="C491" s="163"/>
      <c r="D491" s="188"/>
      <c r="E491" s="188"/>
      <c r="F491" s="188"/>
      <c r="G491" s="188"/>
      <c r="H491" s="188"/>
      <c r="I491" s="188"/>
      <c r="J491" s="188"/>
      <c r="K491" s="188"/>
      <c r="L491" s="188"/>
      <c r="M491" s="188"/>
      <c r="N491" s="188"/>
      <c r="O491" s="188"/>
      <c r="P491" s="188"/>
      <c r="Q491" s="188"/>
      <c r="R491" s="188"/>
      <c r="S491" s="188"/>
      <c r="T491" s="188"/>
      <c r="U491" s="189"/>
    </row>
    <row r="492" spans="2:21" x14ac:dyDescent="0.35">
      <c r="B492" s="186"/>
      <c r="C492" s="163"/>
      <c r="D492" s="188"/>
      <c r="E492" s="188"/>
      <c r="F492" s="188"/>
      <c r="G492" s="188"/>
      <c r="H492" s="188"/>
      <c r="I492" s="188"/>
      <c r="J492" s="188"/>
      <c r="K492" s="188"/>
      <c r="L492" s="188"/>
      <c r="M492" s="188"/>
      <c r="N492" s="188"/>
      <c r="O492" s="188"/>
      <c r="P492" s="188"/>
      <c r="Q492" s="188"/>
      <c r="R492" s="188"/>
      <c r="S492" s="188"/>
      <c r="T492" s="188"/>
      <c r="U492" s="189"/>
    </row>
    <row r="493" spans="2:21" x14ac:dyDescent="0.35">
      <c r="B493" s="186"/>
      <c r="C493" s="163"/>
      <c r="D493" s="188"/>
      <c r="E493" s="188"/>
      <c r="F493" s="188"/>
      <c r="G493" s="188"/>
      <c r="H493" s="188"/>
      <c r="I493" s="188"/>
      <c r="J493" s="188"/>
      <c r="K493" s="188"/>
      <c r="L493" s="188"/>
      <c r="M493" s="188"/>
      <c r="N493" s="188"/>
      <c r="O493" s="188"/>
      <c r="P493" s="188"/>
      <c r="Q493" s="188"/>
      <c r="R493" s="188"/>
      <c r="S493" s="188"/>
      <c r="T493" s="188"/>
      <c r="U493" s="189"/>
    </row>
    <row r="494" spans="2:21" x14ac:dyDescent="0.35">
      <c r="B494" s="186"/>
      <c r="C494" s="163"/>
      <c r="D494" s="188"/>
      <c r="E494" s="188"/>
      <c r="F494" s="188"/>
      <c r="G494" s="188"/>
      <c r="H494" s="188"/>
      <c r="I494" s="188"/>
      <c r="J494" s="188"/>
      <c r="K494" s="188"/>
      <c r="L494" s="188"/>
      <c r="M494" s="188"/>
      <c r="N494" s="188"/>
      <c r="O494" s="188"/>
      <c r="P494" s="188"/>
      <c r="Q494" s="188"/>
      <c r="R494" s="188"/>
      <c r="S494" s="188"/>
      <c r="T494" s="188"/>
      <c r="U494" s="189"/>
    </row>
    <row r="495" spans="2:21" x14ac:dyDescent="0.35">
      <c r="B495" s="186"/>
      <c r="C495" s="163"/>
      <c r="D495" s="188"/>
      <c r="E495" s="188"/>
      <c r="F495" s="188"/>
      <c r="G495" s="188"/>
      <c r="H495" s="188"/>
      <c r="I495" s="188"/>
      <c r="J495" s="188"/>
      <c r="K495" s="188"/>
      <c r="L495" s="188"/>
      <c r="M495" s="188"/>
      <c r="N495" s="188"/>
      <c r="O495" s="188"/>
      <c r="P495" s="188"/>
      <c r="Q495" s="188"/>
      <c r="R495" s="188"/>
      <c r="S495" s="188"/>
      <c r="T495" s="188"/>
      <c r="U495" s="189"/>
    </row>
    <row r="496" spans="2:21" x14ac:dyDescent="0.35">
      <c r="B496" s="186"/>
      <c r="C496" s="163"/>
      <c r="D496" s="188"/>
      <c r="E496" s="188"/>
      <c r="F496" s="188"/>
      <c r="G496" s="188"/>
      <c r="H496" s="188"/>
      <c r="I496" s="188"/>
      <c r="J496" s="188"/>
      <c r="K496" s="188"/>
      <c r="L496" s="188"/>
      <c r="M496" s="188"/>
      <c r="N496" s="188"/>
      <c r="O496" s="188"/>
      <c r="P496" s="188"/>
      <c r="Q496" s="188"/>
      <c r="R496" s="188"/>
      <c r="S496" s="188"/>
      <c r="T496" s="188"/>
      <c r="U496" s="189"/>
    </row>
    <row r="497" spans="2:21" x14ac:dyDescent="0.35">
      <c r="B497" s="186"/>
      <c r="C497" s="163"/>
      <c r="D497" s="188"/>
      <c r="E497" s="188"/>
      <c r="F497" s="188"/>
      <c r="G497" s="188"/>
      <c r="H497" s="188"/>
      <c r="I497" s="188"/>
      <c r="J497" s="188"/>
      <c r="K497" s="188"/>
      <c r="L497" s="188"/>
      <c r="M497" s="188"/>
      <c r="N497" s="188"/>
      <c r="O497" s="188"/>
      <c r="P497" s="188"/>
      <c r="Q497" s="188"/>
      <c r="R497" s="188"/>
      <c r="S497" s="188"/>
      <c r="T497" s="188"/>
      <c r="U497" s="189"/>
    </row>
    <row r="498" spans="2:21" x14ac:dyDescent="0.35">
      <c r="B498" s="186"/>
      <c r="C498" s="163"/>
      <c r="D498" s="188"/>
      <c r="E498" s="188"/>
      <c r="F498" s="188"/>
      <c r="G498" s="188"/>
      <c r="H498" s="188"/>
      <c r="I498" s="188"/>
      <c r="J498" s="188"/>
      <c r="K498" s="188"/>
      <c r="L498" s="188"/>
      <c r="M498" s="188"/>
      <c r="N498" s="188"/>
      <c r="O498" s="188"/>
      <c r="P498" s="188"/>
      <c r="Q498" s="188"/>
      <c r="R498" s="188"/>
      <c r="S498" s="188"/>
      <c r="T498" s="188"/>
      <c r="U498" s="189"/>
    </row>
    <row r="499" spans="2:21" x14ac:dyDescent="0.35">
      <c r="B499" s="186"/>
      <c r="C499" s="163"/>
      <c r="D499" s="188"/>
      <c r="E499" s="188"/>
      <c r="F499" s="188"/>
      <c r="G499" s="188"/>
      <c r="H499" s="188"/>
      <c r="I499" s="188"/>
      <c r="J499" s="188"/>
      <c r="K499" s="188"/>
      <c r="L499" s="188"/>
      <c r="M499" s="188"/>
      <c r="N499" s="188"/>
      <c r="O499" s="188"/>
      <c r="P499" s="188"/>
      <c r="Q499" s="188"/>
      <c r="R499" s="188"/>
      <c r="S499" s="188"/>
      <c r="T499" s="188"/>
      <c r="U499" s="189"/>
    </row>
    <row r="500" spans="2:21" x14ac:dyDescent="0.35">
      <c r="B500" s="186"/>
      <c r="C500" s="163"/>
      <c r="D500" s="188"/>
      <c r="E500" s="188"/>
      <c r="F500" s="188"/>
      <c r="G500" s="188"/>
      <c r="H500" s="188"/>
      <c r="I500" s="188"/>
      <c r="J500" s="188"/>
      <c r="K500" s="188"/>
      <c r="L500" s="188"/>
      <c r="M500" s="188"/>
      <c r="N500" s="188"/>
      <c r="O500" s="188"/>
      <c r="P500" s="188"/>
      <c r="Q500" s="188"/>
      <c r="R500" s="188"/>
      <c r="S500" s="188"/>
      <c r="T500" s="188"/>
      <c r="U500" s="189"/>
    </row>
    <row r="501" spans="2:21" x14ac:dyDescent="0.35">
      <c r="B501" s="186"/>
      <c r="C501" s="163"/>
      <c r="D501" s="188"/>
      <c r="E501" s="188"/>
      <c r="F501" s="188"/>
      <c r="G501" s="188"/>
      <c r="H501" s="188"/>
      <c r="I501" s="188"/>
      <c r="J501" s="188"/>
      <c r="K501" s="188"/>
      <c r="L501" s="188"/>
      <c r="M501" s="188"/>
      <c r="N501" s="188"/>
      <c r="O501" s="188"/>
      <c r="P501" s="188"/>
      <c r="Q501" s="188"/>
      <c r="R501" s="188"/>
      <c r="S501" s="188"/>
      <c r="T501" s="188"/>
      <c r="U501" s="189"/>
    </row>
    <row r="502" spans="2:21" x14ac:dyDescent="0.35">
      <c r="B502" s="186"/>
      <c r="C502" s="163"/>
      <c r="D502" s="188"/>
      <c r="E502" s="188"/>
      <c r="F502" s="188"/>
      <c r="G502" s="188"/>
      <c r="H502" s="188"/>
      <c r="I502" s="188"/>
      <c r="J502" s="188"/>
      <c r="K502" s="188"/>
      <c r="L502" s="188"/>
      <c r="M502" s="188"/>
      <c r="N502" s="188"/>
      <c r="O502" s="188"/>
      <c r="P502" s="188"/>
      <c r="Q502" s="188"/>
      <c r="R502" s="188"/>
      <c r="S502" s="188"/>
      <c r="T502" s="188"/>
      <c r="U502" s="189"/>
    </row>
    <row r="503" spans="2:21" x14ac:dyDescent="0.35">
      <c r="B503" s="186"/>
      <c r="C503" s="163"/>
      <c r="D503" s="188"/>
      <c r="E503" s="188"/>
      <c r="F503" s="188"/>
      <c r="G503" s="188"/>
      <c r="H503" s="188"/>
      <c r="I503" s="188"/>
      <c r="J503" s="188"/>
      <c r="K503" s="188"/>
      <c r="L503" s="188"/>
      <c r="M503" s="188"/>
      <c r="N503" s="188"/>
      <c r="O503" s="188"/>
      <c r="P503" s="188"/>
      <c r="Q503" s="188"/>
      <c r="R503" s="188"/>
      <c r="S503" s="188"/>
      <c r="T503" s="188"/>
      <c r="U503" s="189"/>
    </row>
    <row r="504" spans="2:21" x14ac:dyDescent="0.35">
      <c r="B504" s="186"/>
      <c r="C504" s="163"/>
      <c r="D504" s="188"/>
      <c r="E504" s="188"/>
      <c r="F504" s="188"/>
      <c r="G504" s="188"/>
      <c r="H504" s="188"/>
      <c r="I504" s="188"/>
      <c r="J504" s="188"/>
      <c r="K504" s="188"/>
      <c r="L504" s="188"/>
      <c r="M504" s="188"/>
      <c r="N504" s="188"/>
      <c r="O504" s="188"/>
      <c r="P504" s="188"/>
      <c r="Q504" s="188"/>
      <c r="R504" s="188"/>
      <c r="S504" s="188"/>
      <c r="T504" s="188"/>
      <c r="U504" s="189"/>
    </row>
    <row r="505" spans="2:21" x14ac:dyDescent="0.35">
      <c r="B505" s="186"/>
      <c r="C505" s="163"/>
      <c r="D505" s="188"/>
      <c r="E505" s="188"/>
      <c r="F505" s="188"/>
      <c r="G505" s="188"/>
      <c r="H505" s="188"/>
      <c r="I505" s="188"/>
      <c r="J505" s="188"/>
      <c r="K505" s="188"/>
      <c r="L505" s="188"/>
      <c r="M505" s="188"/>
      <c r="N505" s="188"/>
      <c r="O505" s="188"/>
      <c r="P505" s="188"/>
      <c r="Q505" s="188"/>
      <c r="R505" s="188"/>
      <c r="S505" s="188"/>
      <c r="T505" s="188"/>
      <c r="U505" s="189"/>
    </row>
    <row r="506" spans="2:21" x14ac:dyDescent="0.35">
      <c r="B506" s="186"/>
      <c r="C506" s="163"/>
      <c r="D506" s="188"/>
      <c r="E506" s="188"/>
      <c r="F506" s="188"/>
      <c r="G506" s="188"/>
      <c r="H506" s="188"/>
      <c r="I506" s="188"/>
      <c r="J506" s="188"/>
      <c r="K506" s="188"/>
      <c r="L506" s="188"/>
      <c r="M506" s="188"/>
      <c r="N506" s="188"/>
      <c r="O506" s="188"/>
      <c r="P506" s="188"/>
      <c r="Q506" s="188"/>
      <c r="R506" s="188"/>
      <c r="S506" s="188"/>
      <c r="T506" s="188"/>
      <c r="U506" s="189"/>
    </row>
    <row r="507" spans="2:21" x14ac:dyDescent="0.35">
      <c r="B507" s="186"/>
      <c r="C507" s="163"/>
      <c r="D507" s="188"/>
      <c r="E507" s="188"/>
      <c r="F507" s="188"/>
      <c r="G507" s="188"/>
      <c r="H507" s="188"/>
      <c r="I507" s="188"/>
      <c r="J507" s="188"/>
      <c r="K507" s="188"/>
      <c r="L507" s="188"/>
      <c r="M507" s="188"/>
      <c r="N507" s="188"/>
      <c r="O507" s="188"/>
      <c r="P507" s="188"/>
      <c r="Q507" s="188"/>
      <c r="R507" s="188"/>
      <c r="S507" s="188"/>
      <c r="T507" s="188"/>
      <c r="U507" s="189"/>
    </row>
    <row r="508" spans="2:21" x14ac:dyDescent="0.35">
      <c r="B508" s="186"/>
      <c r="C508" s="163"/>
      <c r="D508" s="188"/>
      <c r="E508" s="188"/>
      <c r="F508" s="188"/>
      <c r="G508" s="188"/>
      <c r="H508" s="188"/>
      <c r="I508" s="188"/>
      <c r="J508" s="188"/>
      <c r="K508" s="188"/>
      <c r="L508" s="188"/>
      <c r="M508" s="188"/>
      <c r="N508" s="188"/>
      <c r="O508" s="188"/>
      <c r="P508" s="188"/>
      <c r="Q508" s="188"/>
      <c r="R508" s="188"/>
      <c r="S508" s="188"/>
      <c r="T508" s="188"/>
      <c r="U508" s="189"/>
    </row>
    <row r="509" spans="2:21" x14ac:dyDescent="0.35">
      <c r="B509" s="186"/>
      <c r="C509" s="163"/>
      <c r="D509" s="188"/>
      <c r="E509" s="188"/>
      <c r="F509" s="188"/>
      <c r="G509" s="188"/>
      <c r="H509" s="188"/>
      <c r="I509" s="188"/>
      <c r="J509" s="188"/>
      <c r="K509" s="188"/>
      <c r="L509" s="188"/>
      <c r="M509" s="188"/>
      <c r="N509" s="188"/>
      <c r="O509" s="188"/>
      <c r="P509" s="188"/>
      <c r="Q509" s="188"/>
      <c r="R509" s="188"/>
      <c r="S509" s="188"/>
      <c r="T509" s="188"/>
      <c r="U509" s="189"/>
    </row>
    <row r="510" spans="2:21" x14ac:dyDescent="0.35">
      <c r="B510" s="186"/>
      <c r="C510" s="163"/>
      <c r="D510" s="188"/>
      <c r="E510" s="188"/>
      <c r="F510" s="188"/>
      <c r="G510" s="188"/>
      <c r="H510" s="188"/>
      <c r="I510" s="188"/>
      <c r="J510" s="188"/>
      <c r="K510" s="188"/>
      <c r="L510" s="188"/>
      <c r="M510" s="188"/>
      <c r="N510" s="188"/>
      <c r="O510" s="188"/>
      <c r="P510" s="188"/>
      <c r="Q510" s="188"/>
      <c r="R510" s="188"/>
      <c r="S510" s="188"/>
      <c r="T510" s="188"/>
      <c r="U510" s="189"/>
    </row>
    <row r="511" spans="2:21" x14ac:dyDescent="0.35">
      <c r="B511" s="186"/>
      <c r="C511" s="163"/>
      <c r="D511" s="188"/>
      <c r="E511" s="188"/>
      <c r="F511" s="188"/>
      <c r="G511" s="188"/>
      <c r="H511" s="188"/>
      <c r="I511" s="188"/>
      <c r="J511" s="188"/>
      <c r="K511" s="188"/>
      <c r="L511" s="188"/>
      <c r="M511" s="188"/>
      <c r="N511" s="188"/>
      <c r="O511" s="188"/>
      <c r="P511" s="188"/>
      <c r="Q511" s="188"/>
      <c r="R511" s="188"/>
      <c r="S511" s="188"/>
      <c r="T511" s="188"/>
      <c r="U511" s="189"/>
    </row>
    <row r="512" spans="2:21" x14ac:dyDescent="0.35">
      <c r="B512" s="186"/>
      <c r="C512" s="163"/>
      <c r="D512" s="188"/>
      <c r="E512" s="188"/>
      <c r="F512" s="188"/>
      <c r="G512" s="188"/>
      <c r="H512" s="188"/>
      <c r="I512" s="188"/>
      <c r="J512" s="188"/>
      <c r="K512" s="188"/>
      <c r="L512" s="188"/>
      <c r="M512" s="188"/>
      <c r="N512" s="188"/>
      <c r="O512" s="188"/>
      <c r="P512" s="188"/>
      <c r="Q512" s="188"/>
      <c r="R512" s="188"/>
      <c r="S512" s="188"/>
      <c r="T512" s="188"/>
      <c r="U512" s="189"/>
    </row>
    <row r="513" spans="2:21" x14ac:dyDescent="0.35">
      <c r="B513" s="186"/>
      <c r="C513" s="163"/>
      <c r="D513" s="188"/>
      <c r="E513" s="188"/>
      <c r="F513" s="188"/>
      <c r="G513" s="188"/>
      <c r="H513" s="188"/>
      <c r="I513" s="188"/>
      <c r="J513" s="188"/>
      <c r="K513" s="188"/>
      <c r="L513" s="188"/>
      <c r="M513" s="188"/>
      <c r="N513" s="188"/>
      <c r="O513" s="188"/>
      <c r="P513" s="188"/>
      <c r="Q513" s="188"/>
      <c r="R513" s="188"/>
      <c r="S513" s="188"/>
      <c r="T513" s="188"/>
      <c r="U513" s="189"/>
    </row>
    <row r="514" spans="2:21" x14ac:dyDescent="0.35">
      <c r="B514" s="186"/>
      <c r="C514" s="163"/>
      <c r="D514" s="188"/>
      <c r="E514" s="188"/>
      <c r="F514" s="188"/>
      <c r="G514" s="188"/>
      <c r="H514" s="188"/>
      <c r="I514" s="188"/>
      <c r="J514" s="188"/>
      <c r="K514" s="188"/>
      <c r="L514" s="188"/>
      <c r="M514" s="188"/>
      <c r="N514" s="188"/>
      <c r="O514" s="188"/>
      <c r="P514" s="188"/>
      <c r="Q514" s="188"/>
      <c r="R514" s="188"/>
      <c r="S514" s="188"/>
      <c r="T514" s="188"/>
      <c r="U514" s="189"/>
    </row>
    <row r="515" spans="2:21" x14ac:dyDescent="0.35">
      <c r="B515" s="186"/>
      <c r="C515" s="163"/>
      <c r="D515" s="188"/>
      <c r="E515" s="188"/>
      <c r="F515" s="188"/>
      <c r="G515" s="188"/>
      <c r="H515" s="188"/>
      <c r="I515" s="188"/>
      <c r="J515" s="188"/>
      <c r="K515" s="188"/>
      <c r="L515" s="188"/>
      <c r="M515" s="188"/>
      <c r="N515" s="188"/>
      <c r="O515" s="188"/>
      <c r="P515" s="188"/>
      <c r="Q515" s="188"/>
      <c r="R515" s="188"/>
      <c r="S515" s="188"/>
      <c r="T515" s="188"/>
      <c r="U515" s="189"/>
    </row>
    <row r="516" spans="2:21" x14ac:dyDescent="0.35">
      <c r="B516" s="186"/>
      <c r="C516" s="163"/>
      <c r="D516" s="188"/>
      <c r="E516" s="188"/>
      <c r="F516" s="188"/>
      <c r="G516" s="188"/>
      <c r="H516" s="188"/>
      <c r="I516" s="188"/>
      <c r="J516" s="188"/>
      <c r="K516" s="188"/>
      <c r="L516" s="188"/>
      <c r="M516" s="188"/>
      <c r="N516" s="188"/>
      <c r="O516" s="188"/>
      <c r="P516" s="188"/>
      <c r="Q516" s="188"/>
      <c r="R516" s="188"/>
      <c r="S516" s="188"/>
      <c r="T516" s="188"/>
      <c r="U516" s="189"/>
    </row>
    <row r="517" spans="2:21" x14ac:dyDescent="0.35">
      <c r="B517" s="186"/>
      <c r="C517" s="163"/>
      <c r="D517" s="188"/>
      <c r="E517" s="188"/>
      <c r="F517" s="188"/>
      <c r="G517" s="188"/>
      <c r="H517" s="188"/>
      <c r="I517" s="188"/>
      <c r="J517" s="188"/>
      <c r="K517" s="188"/>
      <c r="L517" s="188"/>
      <c r="M517" s="188"/>
      <c r="N517" s="188"/>
      <c r="O517" s="188"/>
      <c r="P517" s="188"/>
      <c r="Q517" s="188"/>
      <c r="R517" s="188"/>
      <c r="S517" s="188"/>
      <c r="T517" s="188"/>
      <c r="U517" s="189"/>
    </row>
    <row r="518" spans="2:21" x14ac:dyDescent="0.35">
      <c r="B518" s="186"/>
      <c r="C518" s="163"/>
      <c r="D518" s="188"/>
      <c r="E518" s="188"/>
      <c r="F518" s="188"/>
      <c r="G518" s="188"/>
      <c r="H518" s="188"/>
      <c r="I518" s="188"/>
      <c r="J518" s="188"/>
      <c r="K518" s="188"/>
      <c r="L518" s="188"/>
      <c r="M518" s="188"/>
      <c r="N518" s="188"/>
      <c r="O518" s="188"/>
      <c r="P518" s="188"/>
      <c r="Q518" s="188"/>
      <c r="R518" s="188"/>
      <c r="S518" s="188"/>
      <c r="T518" s="188"/>
      <c r="U518" s="189"/>
    </row>
    <row r="519" spans="2:21" x14ac:dyDescent="0.35">
      <c r="B519" s="186"/>
      <c r="C519" s="163"/>
      <c r="D519" s="188"/>
      <c r="E519" s="188"/>
      <c r="F519" s="188"/>
      <c r="G519" s="188"/>
      <c r="H519" s="188"/>
      <c r="I519" s="188"/>
      <c r="J519" s="188"/>
      <c r="K519" s="188"/>
      <c r="L519" s="188"/>
      <c r="M519" s="188"/>
      <c r="N519" s="188"/>
      <c r="O519" s="188"/>
      <c r="P519" s="188"/>
      <c r="Q519" s="188"/>
      <c r="R519" s="188"/>
      <c r="S519" s="188"/>
      <c r="T519" s="188"/>
      <c r="U519" s="189"/>
    </row>
    <row r="520" spans="2:21" x14ac:dyDescent="0.35">
      <c r="B520" s="186"/>
      <c r="C520" s="163"/>
      <c r="D520" s="188"/>
      <c r="E520" s="188"/>
      <c r="F520" s="188"/>
      <c r="G520" s="188"/>
      <c r="H520" s="188"/>
      <c r="I520" s="188"/>
      <c r="J520" s="188"/>
      <c r="K520" s="188"/>
      <c r="L520" s="188"/>
      <c r="M520" s="188"/>
      <c r="N520" s="188"/>
      <c r="O520" s="188"/>
      <c r="P520" s="188"/>
      <c r="Q520" s="188"/>
      <c r="R520" s="188"/>
      <c r="S520" s="188"/>
      <c r="T520" s="188"/>
      <c r="U520" s="189"/>
    </row>
    <row r="521" spans="2:21" x14ac:dyDescent="0.35">
      <c r="B521" s="186"/>
      <c r="C521" s="163"/>
      <c r="D521" s="188"/>
      <c r="E521" s="188"/>
      <c r="F521" s="188"/>
      <c r="G521" s="188"/>
      <c r="H521" s="188"/>
      <c r="I521" s="188"/>
      <c r="J521" s="188"/>
      <c r="K521" s="188"/>
      <c r="L521" s="188"/>
      <c r="M521" s="188"/>
      <c r="N521" s="188"/>
      <c r="O521" s="188"/>
      <c r="P521" s="188"/>
      <c r="Q521" s="188"/>
      <c r="R521" s="188"/>
      <c r="S521" s="188"/>
      <c r="T521" s="188"/>
      <c r="U521" s="189"/>
    </row>
    <row r="522" spans="2:21" x14ac:dyDescent="0.35">
      <c r="B522" s="186"/>
      <c r="C522" s="163"/>
      <c r="D522" s="188"/>
      <c r="E522" s="188"/>
      <c r="F522" s="188"/>
      <c r="G522" s="188"/>
      <c r="H522" s="188"/>
      <c r="I522" s="188"/>
      <c r="J522" s="188"/>
      <c r="K522" s="188"/>
      <c r="L522" s="188"/>
      <c r="M522" s="188"/>
      <c r="N522" s="188"/>
      <c r="O522" s="188"/>
      <c r="P522" s="188"/>
      <c r="Q522" s="188"/>
      <c r="R522" s="188"/>
      <c r="S522" s="188"/>
      <c r="T522" s="188"/>
      <c r="U522" s="189"/>
    </row>
    <row r="523" spans="2:21" x14ac:dyDescent="0.35">
      <c r="B523" s="186"/>
      <c r="C523" s="163"/>
      <c r="D523" s="188"/>
      <c r="E523" s="188"/>
      <c r="F523" s="188"/>
      <c r="G523" s="188"/>
      <c r="H523" s="188"/>
      <c r="I523" s="188"/>
      <c r="J523" s="188"/>
      <c r="K523" s="188"/>
      <c r="L523" s="188"/>
      <c r="M523" s="188"/>
      <c r="N523" s="188"/>
      <c r="O523" s="188"/>
      <c r="P523" s="188"/>
      <c r="Q523" s="188"/>
      <c r="R523" s="188"/>
      <c r="S523" s="188"/>
      <c r="T523" s="188"/>
      <c r="U523" s="189"/>
    </row>
    <row r="524" spans="2:21" x14ac:dyDescent="0.35">
      <c r="B524" s="186"/>
      <c r="C524" s="163"/>
      <c r="D524" s="188"/>
      <c r="E524" s="188"/>
      <c r="F524" s="188"/>
      <c r="G524" s="188"/>
      <c r="H524" s="188"/>
      <c r="I524" s="188"/>
      <c r="J524" s="188"/>
      <c r="K524" s="188"/>
      <c r="L524" s="188"/>
      <c r="M524" s="188"/>
      <c r="N524" s="188"/>
      <c r="O524" s="188"/>
      <c r="P524" s="188"/>
      <c r="Q524" s="188"/>
      <c r="R524" s="188"/>
      <c r="S524" s="188"/>
      <c r="T524" s="188"/>
      <c r="U524" s="189"/>
    </row>
    <row r="525" spans="2:21" x14ac:dyDescent="0.35">
      <c r="B525" s="186"/>
      <c r="C525" s="163"/>
      <c r="D525" s="188"/>
      <c r="E525" s="188"/>
      <c r="F525" s="188"/>
      <c r="G525" s="188"/>
      <c r="H525" s="188"/>
      <c r="I525" s="188"/>
      <c r="J525" s="188"/>
      <c r="K525" s="188"/>
      <c r="L525" s="188"/>
      <c r="M525" s="188"/>
      <c r="N525" s="188"/>
      <c r="O525" s="188"/>
      <c r="P525" s="188"/>
      <c r="Q525" s="188"/>
      <c r="R525" s="188"/>
      <c r="S525" s="188"/>
      <c r="T525" s="188"/>
      <c r="U525" s="189"/>
    </row>
    <row r="526" spans="2:21" x14ac:dyDescent="0.35">
      <c r="B526" s="186"/>
      <c r="C526" s="163"/>
      <c r="D526" s="188"/>
      <c r="E526" s="188"/>
      <c r="F526" s="188"/>
      <c r="G526" s="188"/>
      <c r="H526" s="188"/>
      <c r="I526" s="188"/>
      <c r="J526" s="188"/>
      <c r="K526" s="188"/>
      <c r="L526" s="188"/>
      <c r="M526" s="188"/>
      <c r="N526" s="188"/>
      <c r="O526" s="188"/>
      <c r="P526" s="188"/>
      <c r="Q526" s="188"/>
      <c r="R526" s="188"/>
      <c r="S526" s="188"/>
      <c r="T526" s="188"/>
      <c r="U526" s="189"/>
    </row>
    <row r="527" spans="2:21" x14ac:dyDescent="0.35">
      <c r="B527" s="186"/>
      <c r="C527" s="163"/>
      <c r="D527" s="188"/>
      <c r="E527" s="188"/>
      <c r="F527" s="188"/>
      <c r="G527" s="188"/>
      <c r="H527" s="188"/>
      <c r="I527" s="188"/>
      <c r="J527" s="188"/>
      <c r="K527" s="188"/>
      <c r="L527" s="188"/>
      <c r="M527" s="188"/>
      <c r="N527" s="188"/>
      <c r="O527" s="188"/>
      <c r="P527" s="188"/>
      <c r="Q527" s="188"/>
      <c r="R527" s="188"/>
      <c r="S527" s="188"/>
      <c r="T527" s="188"/>
      <c r="U527" s="189"/>
    </row>
    <row r="528" spans="2:21" x14ac:dyDescent="0.35">
      <c r="B528" s="186"/>
      <c r="C528" s="163"/>
      <c r="D528" s="188"/>
      <c r="E528" s="188"/>
      <c r="F528" s="188"/>
      <c r="G528" s="188"/>
      <c r="H528" s="188"/>
      <c r="I528" s="188"/>
      <c r="J528" s="188"/>
      <c r="K528" s="188"/>
      <c r="L528" s="188"/>
      <c r="M528" s="188"/>
      <c r="N528" s="188"/>
      <c r="O528" s="188"/>
      <c r="P528" s="188"/>
      <c r="Q528" s="188"/>
      <c r="R528" s="188"/>
      <c r="S528" s="188"/>
      <c r="T528" s="188"/>
      <c r="U528" s="189"/>
    </row>
    <row r="529" spans="2:21" x14ac:dyDescent="0.35">
      <c r="B529" s="186"/>
      <c r="C529" s="163"/>
      <c r="D529" s="188"/>
      <c r="E529" s="188"/>
      <c r="F529" s="188"/>
      <c r="G529" s="188"/>
      <c r="H529" s="188"/>
      <c r="I529" s="188"/>
      <c r="J529" s="188"/>
      <c r="K529" s="188"/>
      <c r="L529" s="188"/>
      <c r="M529" s="188"/>
      <c r="N529" s="188"/>
      <c r="O529" s="188"/>
      <c r="P529" s="188"/>
      <c r="Q529" s="188"/>
      <c r="R529" s="188"/>
      <c r="S529" s="188"/>
      <c r="T529" s="188"/>
      <c r="U529" s="189"/>
    </row>
    <row r="530" spans="2:21" x14ac:dyDescent="0.35">
      <c r="B530" s="186"/>
      <c r="C530" s="163"/>
      <c r="D530" s="188"/>
      <c r="E530" s="188"/>
      <c r="F530" s="188"/>
      <c r="G530" s="188"/>
      <c r="H530" s="188"/>
      <c r="I530" s="188"/>
      <c r="J530" s="188"/>
      <c r="K530" s="188"/>
      <c r="L530" s="188"/>
      <c r="M530" s="188"/>
      <c r="N530" s="188"/>
      <c r="O530" s="188"/>
      <c r="P530" s="188"/>
      <c r="Q530" s="188"/>
      <c r="R530" s="188"/>
      <c r="S530" s="188"/>
      <c r="T530" s="188"/>
      <c r="U530" s="189"/>
    </row>
    <row r="531" spans="2:21" x14ac:dyDescent="0.35">
      <c r="B531" s="186"/>
      <c r="C531" s="163"/>
      <c r="D531" s="188"/>
      <c r="E531" s="188"/>
      <c r="F531" s="188"/>
      <c r="G531" s="188"/>
      <c r="H531" s="188"/>
      <c r="I531" s="188"/>
      <c r="J531" s="188"/>
      <c r="K531" s="188"/>
      <c r="L531" s="188"/>
      <c r="M531" s="188"/>
      <c r="N531" s="188"/>
      <c r="O531" s="188"/>
      <c r="P531" s="188"/>
      <c r="Q531" s="188"/>
      <c r="R531" s="188"/>
      <c r="S531" s="188"/>
      <c r="T531" s="188"/>
      <c r="U531" s="189"/>
    </row>
    <row r="532" spans="2:21" x14ac:dyDescent="0.35">
      <c r="B532" s="186"/>
      <c r="C532" s="163"/>
      <c r="D532" s="188"/>
      <c r="E532" s="188"/>
      <c r="F532" s="188"/>
      <c r="G532" s="188"/>
      <c r="H532" s="188"/>
      <c r="I532" s="188"/>
      <c r="J532" s="188"/>
      <c r="K532" s="188"/>
      <c r="L532" s="188"/>
      <c r="M532" s="188"/>
      <c r="N532" s="188"/>
      <c r="O532" s="188"/>
      <c r="P532" s="188"/>
      <c r="Q532" s="188"/>
      <c r="R532" s="188"/>
      <c r="S532" s="188"/>
      <c r="T532" s="188"/>
      <c r="U532" s="189"/>
    </row>
    <row r="533" spans="2:21" x14ac:dyDescent="0.35">
      <c r="B533" s="186"/>
      <c r="C533" s="163"/>
      <c r="D533" s="188"/>
      <c r="E533" s="188"/>
      <c r="F533" s="188"/>
      <c r="G533" s="188"/>
      <c r="H533" s="188"/>
      <c r="I533" s="188"/>
      <c r="J533" s="188"/>
      <c r="K533" s="188"/>
      <c r="L533" s="188"/>
      <c r="M533" s="188"/>
      <c r="N533" s="188"/>
      <c r="O533" s="188"/>
      <c r="P533" s="188"/>
      <c r="Q533" s="188"/>
      <c r="R533" s="188"/>
      <c r="S533" s="188"/>
      <c r="T533" s="188"/>
      <c r="U533" s="189"/>
    </row>
    <row r="534" spans="2:21" x14ac:dyDescent="0.35">
      <c r="B534" s="186"/>
      <c r="C534" s="163"/>
      <c r="D534" s="188"/>
      <c r="E534" s="188"/>
      <c r="F534" s="188"/>
      <c r="G534" s="188"/>
      <c r="H534" s="188"/>
      <c r="I534" s="188"/>
      <c r="J534" s="188"/>
      <c r="K534" s="188"/>
      <c r="L534" s="188"/>
      <c r="M534" s="188"/>
      <c r="N534" s="188"/>
      <c r="O534" s="188"/>
      <c r="P534" s="188"/>
      <c r="Q534" s="188"/>
      <c r="R534" s="188"/>
      <c r="S534" s="188"/>
      <c r="T534" s="188"/>
      <c r="U534" s="189"/>
    </row>
    <row r="535" spans="2:21" x14ac:dyDescent="0.35">
      <c r="B535" s="186"/>
      <c r="C535" s="163"/>
      <c r="D535" s="188"/>
      <c r="E535" s="188"/>
      <c r="F535" s="188"/>
      <c r="G535" s="188"/>
      <c r="H535" s="188"/>
      <c r="I535" s="188"/>
      <c r="J535" s="188"/>
      <c r="K535" s="188"/>
      <c r="L535" s="188"/>
      <c r="M535" s="188"/>
      <c r="N535" s="188"/>
      <c r="O535" s="188"/>
      <c r="P535" s="188"/>
      <c r="Q535" s="188"/>
      <c r="R535" s="188"/>
      <c r="S535" s="188"/>
      <c r="T535" s="188"/>
      <c r="U535" s="189"/>
    </row>
    <row r="536" spans="2:21" x14ac:dyDescent="0.35">
      <c r="B536" s="186"/>
      <c r="C536" s="163"/>
      <c r="D536" s="188"/>
      <c r="E536" s="188"/>
      <c r="F536" s="188"/>
      <c r="G536" s="188"/>
      <c r="H536" s="188"/>
      <c r="I536" s="188"/>
      <c r="J536" s="188"/>
      <c r="K536" s="188"/>
      <c r="L536" s="188"/>
      <c r="M536" s="188"/>
      <c r="N536" s="188"/>
      <c r="O536" s="188"/>
      <c r="P536" s="188"/>
      <c r="Q536" s="188"/>
      <c r="R536" s="188"/>
      <c r="S536" s="188"/>
      <c r="T536" s="188"/>
      <c r="U536" s="189"/>
    </row>
    <row r="537" spans="2:21" x14ac:dyDescent="0.35">
      <c r="B537" s="186"/>
      <c r="C537" s="163"/>
      <c r="D537" s="188"/>
      <c r="E537" s="188"/>
      <c r="F537" s="188"/>
      <c r="G537" s="188"/>
      <c r="H537" s="188"/>
      <c r="I537" s="188"/>
      <c r="J537" s="188"/>
      <c r="K537" s="188"/>
      <c r="L537" s="188"/>
      <c r="M537" s="188"/>
      <c r="N537" s="188"/>
      <c r="O537" s="188"/>
      <c r="P537" s="188"/>
      <c r="Q537" s="188"/>
      <c r="R537" s="188"/>
      <c r="S537" s="188"/>
      <c r="T537" s="188"/>
      <c r="U537" s="189"/>
    </row>
    <row r="538" spans="2:21" x14ac:dyDescent="0.35">
      <c r="D538" s="189"/>
      <c r="E538" s="189"/>
      <c r="F538" s="189"/>
      <c r="G538" s="189"/>
      <c r="H538" s="189"/>
      <c r="I538" s="189"/>
      <c r="J538" s="189"/>
      <c r="K538" s="189"/>
      <c r="L538" s="189"/>
      <c r="M538" s="189"/>
      <c r="N538" s="189"/>
      <c r="O538" s="189"/>
      <c r="P538" s="189"/>
      <c r="Q538" s="189"/>
      <c r="R538" s="189"/>
      <c r="S538" s="189"/>
      <c r="T538" s="189"/>
      <c r="U538" s="189"/>
    </row>
    <row r="539" spans="2:21" x14ac:dyDescent="0.35">
      <c r="D539" s="189"/>
      <c r="E539" s="189"/>
      <c r="F539" s="189"/>
      <c r="G539" s="189"/>
      <c r="H539" s="189"/>
      <c r="I539" s="189"/>
      <c r="J539" s="189"/>
      <c r="K539" s="189"/>
      <c r="L539" s="189"/>
      <c r="M539" s="189"/>
      <c r="N539" s="189"/>
      <c r="O539" s="189"/>
      <c r="P539" s="189"/>
      <c r="Q539" s="189"/>
      <c r="R539" s="189"/>
      <c r="S539" s="189"/>
      <c r="T539" s="189"/>
      <c r="U539" s="189"/>
    </row>
    <row r="540" spans="2:21" x14ac:dyDescent="0.35">
      <c r="D540" s="189"/>
      <c r="E540" s="189"/>
      <c r="F540" s="189"/>
      <c r="G540" s="189"/>
      <c r="H540" s="189"/>
      <c r="I540" s="189"/>
      <c r="J540" s="189"/>
      <c r="K540" s="189"/>
      <c r="L540" s="189"/>
      <c r="M540" s="189"/>
      <c r="N540" s="189"/>
      <c r="O540" s="189"/>
      <c r="P540" s="189"/>
      <c r="Q540" s="189"/>
      <c r="R540" s="189"/>
      <c r="S540" s="189"/>
      <c r="T540" s="189"/>
      <c r="U540" s="189"/>
    </row>
    <row r="541" spans="2:21" x14ac:dyDescent="0.35">
      <c r="D541" s="189"/>
      <c r="E541" s="189"/>
      <c r="F541" s="189"/>
      <c r="G541" s="189"/>
      <c r="H541" s="189"/>
      <c r="I541" s="189"/>
      <c r="J541" s="189"/>
      <c r="K541" s="189"/>
      <c r="L541" s="189"/>
      <c r="M541" s="189"/>
      <c r="N541" s="189"/>
      <c r="O541" s="189"/>
      <c r="P541" s="189"/>
      <c r="Q541" s="189"/>
      <c r="R541" s="189"/>
      <c r="S541" s="189"/>
      <c r="T541" s="189"/>
      <c r="U541" s="189"/>
    </row>
    <row r="542" spans="2:21" x14ac:dyDescent="0.35">
      <c r="D542" s="189"/>
      <c r="E542" s="189"/>
      <c r="F542" s="189"/>
      <c r="G542" s="189"/>
      <c r="H542" s="189"/>
      <c r="I542" s="189"/>
      <c r="J542" s="189"/>
      <c r="K542" s="189"/>
      <c r="L542" s="189"/>
      <c r="M542" s="189"/>
      <c r="N542" s="189"/>
      <c r="O542" s="189"/>
      <c r="P542" s="189"/>
      <c r="Q542" s="189"/>
      <c r="R542" s="189"/>
      <c r="S542" s="189"/>
      <c r="T542" s="189"/>
      <c r="U542" s="189"/>
    </row>
    <row r="543" spans="2:21" x14ac:dyDescent="0.35">
      <c r="D543" s="189"/>
      <c r="E543" s="189"/>
      <c r="F543" s="189"/>
      <c r="G543" s="189"/>
      <c r="H543" s="189"/>
      <c r="I543" s="189"/>
      <c r="J543" s="189"/>
      <c r="K543" s="189"/>
      <c r="L543" s="189"/>
      <c r="M543" s="189"/>
      <c r="N543" s="189"/>
      <c r="O543" s="189"/>
      <c r="P543" s="189"/>
      <c r="Q543" s="189"/>
      <c r="R543" s="189"/>
      <c r="S543" s="189"/>
      <c r="T543" s="189"/>
      <c r="U543" s="189"/>
    </row>
    <row r="544" spans="2:21" x14ac:dyDescent="0.35">
      <c r="D544" s="189"/>
      <c r="E544" s="189"/>
      <c r="F544" s="189"/>
      <c r="G544" s="189"/>
      <c r="H544" s="189"/>
      <c r="I544" s="189"/>
      <c r="J544" s="189"/>
      <c r="K544" s="189"/>
      <c r="L544" s="189"/>
      <c r="M544" s="189"/>
      <c r="N544" s="189"/>
      <c r="O544" s="189"/>
      <c r="P544" s="189"/>
      <c r="Q544" s="189"/>
      <c r="R544" s="189"/>
      <c r="S544" s="189"/>
      <c r="T544" s="189"/>
      <c r="U544" s="189"/>
    </row>
    <row r="545" spans="4:21" x14ac:dyDescent="0.35">
      <c r="D545" s="189"/>
      <c r="E545" s="189"/>
      <c r="F545" s="189"/>
      <c r="G545" s="189"/>
      <c r="H545" s="189"/>
      <c r="I545" s="189"/>
      <c r="J545" s="189"/>
      <c r="K545" s="189"/>
      <c r="L545" s="189"/>
      <c r="M545" s="189"/>
      <c r="N545" s="189"/>
      <c r="O545" s="189"/>
      <c r="P545" s="189"/>
      <c r="Q545" s="189"/>
      <c r="R545" s="189"/>
      <c r="S545" s="189"/>
      <c r="T545" s="189"/>
      <c r="U545" s="189"/>
    </row>
    <row r="546" spans="4:21" x14ac:dyDescent="0.35">
      <c r="D546" s="189"/>
      <c r="E546" s="189"/>
      <c r="F546" s="189"/>
      <c r="G546" s="189"/>
      <c r="H546" s="189"/>
      <c r="I546" s="189"/>
      <c r="J546" s="189"/>
      <c r="K546" s="189"/>
      <c r="L546" s="189"/>
      <c r="M546" s="189"/>
      <c r="N546" s="189"/>
      <c r="O546" s="189"/>
      <c r="P546" s="189"/>
      <c r="Q546" s="189"/>
      <c r="R546" s="189"/>
      <c r="S546" s="189"/>
      <c r="T546" s="189"/>
      <c r="U546" s="189"/>
    </row>
    <row r="547" spans="4:21" x14ac:dyDescent="0.35">
      <c r="D547" s="189"/>
      <c r="E547" s="189"/>
      <c r="F547" s="189"/>
      <c r="G547" s="189"/>
      <c r="H547" s="189"/>
      <c r="I547" s="189"/>
      <c r="J547" s="189"/>
      <c r="K547" s="189"/>
      <c r="L547" s="189"/>
      <c r="M547" s="189"/>
      <c r="N547" s="189"/>
      <c r="O547" s="189"/>
      <c r="P547" s="189"/>
      <c r="Q547" s="189"/>
      <c r="R547" s="189"/>
      <c r="S547" s="189"/>
      <c r="T547" s="189"/>
      <c r="U547" s="189"/>
    </row>
    <row r="548" spans="4:21" x14ac:dyDescent="0.35">
      <c r="D548" s="189"/>
      <c r="E548" s="189"/>
      <c r="F548" s="189"/>
      <c r="G548" s="189"/>
      <c r="H548" s="189"/>
      <c r="I548" s="189"/>
      <c r="J548" s="189"/>
      <c r="K548" s="189"/>
      <c r="L548" s="189"/>
      <c r="M548" s="189"/>
      <c r="N548" s="189"/>
      <c r="O548" s="189"/>
      <c r="P548" s="189"/>
      <c r="Q548" s="189"/>
      <c r="R548" s="189"/>
      <c r="S548" s="189"/>
      <c r="T548" s="189"/>
      <c r="U548" s="189"/>
    </row>
    <row r="549" spans="4:21" x14ac:dyDescent="0.35">
      <c r="D549" s="189"/>
      <c r="E549" s="189"/>
      <c r="F549" s="189"/>
      <c r="G549" s="189"/>
      <c r="H549" s="189"/>
      <c r="I549" s="189"/>
      <c r="J549" s="189"/>
      <c r="K549" s="189"/>
      <c r="L549" s="189"/>
      <c r="M549" s="189"/>
      <c r="N549" s="189"/>
      <c r="O549" s="189"/>
      <c r="P549" s="189"/>
      <c r="Q549" s="189"/>
      <c r="R549" s="189"/>
      <c r="S549" s="189"/>
      <c r="T549" s="189"/>
      <c r="U549" s="189"/>
    </row>
    <row r="550" spans="4:21" x14ac:dyDescent="0.35">
      <c r="D550" s="189"/>
      <c r="E550" s="189"/>
      <c r="F550" s="189"/>
      <c r="G550" s="189"/>
      <c r="H550" s="189"/>
      <c r="I550" s="189"/>
      <c r="J550" s="189"/>
      <c r="K550" s="189"/>
      <c r="L550" s="189"/>
      <c r="M550" s="189"/>
      <c r="N550" s="189"/>
      <c r="O550" s="189"/>
      <c r="P550" s="189"/>
      <c r="Q550" s="189"/>
      <c r="R550" s="189"/>
      <c r="S550" s="189"/>
      <c r="T550" s="189"/>
      <c r="U550" s="189"/>
    </row>
    <row r="551" spans="4:21" x14ac:dyDescent="0.35">
      <c r="D551" s="189"/>
      <c r="E551" s="189"/>
      <c r="F551" s="189"/>
      <c r="G551" s="189"/>
      <c r="H551" s="189"/>
      <c r="I551" s="189"/>
      <c r="J551" s="189"/>
      <c r="K551" s="189"/>
      <c r="L551" s="189"/>
      <c r="M551" s="189"/>
      <c r="N551" s="189"/>
      <c r="O551" s="189"/>
      <c r="P551" s="189"/>
      <c r="Q551" s="189"/>
      <c r="R551" s="189"/>
      <c r="S551" s="189"/>
      <c r="T551" s="189"/>
      <c r="U551" s="189"/>
    </row>
    <row r="552" spans="4:21" x14ac:dyDescent="0.35">
      <c r="D552" s="189"/>
      <c r="E552" s="189"/>
      <c r="F552" s="189"/>
      <c r="G552" s="189"/>
      <c r="H552" s="189"/>
      <c r="I552" s="189"/>
      <c r="J552" s="189"/>
      <c r="K552" s="189"/>
      <c r="L552" s="189"/>
      <c r="M552" s="189"/>
      <c r="N552" s="189"/>
      <c r="O552" s="189"/>
      <c r="P552" s="189"/>
      <c r="Q552" s="189"/>
      <c r="R552" s="189"/>
      <c r="S552" s="189"/>
      <c r="T552" s="189"/>
      <c r="U552" s="189"/>
    </row>
    <row r="553" spans="4:21" x14ac:dyDescent="0.35">
      <c r="D553" s="189"/>
      <c r="E553" s="189"/>
      <c r="F553" s="189"/>
      <c r="G553" s="189"/>
      <c r="H553" s="189"/>
      <c r="I553" s="189"/>
      <c r="J553" s="189"/>
      <c r="K553" s="189"/>
      <c r="L553" s="189"/>
      <c r="M553" s="189"/>
      <c r="N553" s="189"/>
      <c r="O553" s="189"/>
      <c r="P553" s="189"/>
      <c r="Q553" s="189"/>
      <c r="R553" s="189"/>
      <c r="S553" s="189"/>
      <c r="T553" s="189"/>
      <c r="U553" s="189"/>
    </row>
    <row r="554" spans="4:21" x14ac:dyDescent="0.35">
      <c r="D554" s="189"/>
      <c r="E554" s="189"/>
      <c r="F554" s="189"/>
      <c r="G554" s="189"/>
      <c r="H554" s="189"/>
      <c r="I554" s="189"/>
      <c r="J554" s="189"/>
      <c r="K554" s="189"/>
      <c r="L554" s="189"/>
      <c r="M554" s="189"/>
      <c r="N554" s="189"/>
      <c r="O554" s="189"/>
      <c r="P554" s="189"/>
      <c r="Q554" s="189"/>
      <c r="R554" s="189"/>
      <c r="S554" s="189"/>
      <c r="T554" s="189"/>
      <c r="U554" s="189"/>
    </row>
    <row r="555" spans="4:21" x14ac:dyDescent="0.35">
      <c r="D555" s="189"/>
      <c r="E555" s="189"/>
      <c r="F555" s="189"/>
      <c r="G555" s="189"/>
      <c r="H555" s="189"/>
      <c r="I555" s="189"/>
      <c r="J555" s="189"/>
      <c r="K555" s="189"/>
      <c r="L555" s="189"/>
      <c r="M555" s="189"/>
      <c r="N555" s="189"/>
      <c r="O555" s="189"/>
      <c r="P555" s="189"/>
      <c r="Q555" s="189"/>
      <c r="R555" s="189"/>
      <c r="S555" s="189"/>
      <c r="T555" s="189"/>
      <c r="U555" s="189"/>
    </row>
    <row r="556" spans="4:21" x14ac:dyDescent="0.35">
      <c r="D556" s="189"/>
      <c r="E556" s="189"/>
      <c r="F556" s="189"/>
      <c r="G556" s="189"/>
      <c r="H556" s="189"/>
      <c r="I556" s="189"/>
      <c r="J556" s="189"/>
      <c r="K556" s="189"/>
      <c r="L556" s="189"/>
      <c r="M556" s="189"/>
      <c r="N556" s="189"/>
      <c r="O556" s="189"/>
      <c r="P556" s="189"/>
      <c r="Q556" s="189"/>
      <c r="R556" s="189"/>
      <c r="S556" s="189"/>
      <c r="T556" s="189"/>
      <c r="U556" s="189"/>
    </row>
    <row r="557" spans="4:21" x14ac:dyDescent="0.35">
      <c r="D557" s="189"/>
      <c r="E557" s="189"/>
      <c r="F557" s="189"/>
      <c r="G557" s="189"/>
      <c r="H557" s="189"/>
      <c r="I557" s="189"/>
      <c r="J557" s="189"/>
      <c r="K557" s="189"/>
      <c r="L557" s="189"/>
      <c r="M557" s="189"/>
      <c r="N557" s="189"/>
      <c r="O557" s="189"/>
      <c r="P557" s="189"/>
      <c r="Q557" s="189"/>
      <c r="R557" s="189"/>
      <c r="S557" s="189"/>
      <c r="T557" s="189"/>
      <c r="U557" s="189"/>
    </row>
    <row r="558" spans="4:21" x14ac:dyDescent="0.35">
      <c r="D558" s="189"/>
      <c r="E558" s="189"/>
      <c r="F558" s="189"/>
      <c r="G558" s="189"/>
      <c r="H558" s="189"/>
      <c r="I558" s="189"/>
      <c r="J558" s="189"/>
      <c r="K558" s="189"/>
      <c r="L558" s="189"/>
      <c r="M558" s="189"/>
      <c r="N558" s="189"/>
      <c r="O558" s="189"/>
      <c r="P558" s="189"/>
      <c r="Q558" s="189"/>
      <c r="R558" s="189"/>
      <c r="S558" s="189"/>
      <c r="T558" s="189"/>
      <c r="U558" s="189"/>
    </row>
    <row r="559" spans="4:21" x14ac:dyDescent="0.35">
      <c r="D559" s="189"/>
      <c r="E559" s="189"/>
      <c r="F559" s="189"/>
      <c r="G559" s="189"/>
      <c r="H559" s="189"/>
      <c r="I559" s="189"/>
      <c r="J559" s="189"/>
      <c r="K559" s="189"/>
      <c r="L559" s="189"/>
      <c r="M559" s="189"/>
      <c r="N559" s="189"/>
      <c r="O559" s="189"/>
      <c r="P559" s="189"/>
      <c r="Q559" s="189"/>
      <c r="R559" s="189"/>
      <c r="S559" s="189"/>
      <c r="T559" s="189"/>
      <c r="U559" s="189"/>
    </row>
    <row r="560" spans="4:21" x14ac:dyDescent="0.35">
      <c r="D560" s="189"/>
      <c r="E560" s="189"/>
      <c r="F560" s="189"/>
      <c r="G560" s="189"/>
      <c r="H560" s="189"/>
      <c r="I560" s="189"/>
      <c r="J560" s="189"/>
      <c r="K560" s="189"/>
      <c r="L560" s="189"/>
      <c r="M560" s="189"/>
      <c r="N560" s="189"/>
      <c r="O560" s="189"/>
      <c r="P560" s="189"/>
      <c r="Q560" s="189"/>
      <c r="R560" s="189"/>
      <c r="S560" s="189"/>
      <c r="T560" s="189"/>
      <c r="U560" s="189"/>
    </row>
    <row r="561" spans="4:21" x14ac:dyDescent="0.35">
      <c r="D561" s="189"/>
      <c r="E561" s="189"/>
      <c r="F561" s="189"/>
      <c r="G561" s="189"/>
      <c r="H561" s="189"/>
      <c r="I561" s="189"/>
      <c r="J561" s="189"/>
      <c r="K561" s="189"/>
      <c r="L561" s="189"/>
      <c r="M561" s="189"/>
      <c r="N561" s="189"/>
      <c r="O561" s="189"/>
      <c r="P561" s="189"/>
      <c r="Q561" s="189"/>
      <c r="R561" s="189"/>
      <c r="S561" s="189"/>
      <c r="T561" s="189"/>
      <c r="U561" s="189"/>
    </row>
    <row r="562" spans="4:21" x14ac:dyDescent="0.35">
      <c r="D562" s="189"/>
      <c r="E562" s="189"/>
      <c r="F562" s="189"/>
      <c r="G562" s="189"/>
      <c r="H562" s="189"/>
      <c r="I562" s="189"/>
      <c r="J562" s="189"/>
      <c r="K562" s="189"/>
      <c r="L562" s="189"/>
      <c r="M562" s="189"/>
      <c r="N562" s="189"/>
      <c r="O562" s="189"/>
      <c r="P562" s="189"/>
      <c r="Q562" s="189"/>
      <c r="R562" s="189"/>
      <c r="S562" s="189"/>
      <c r="T562" s="189"/>
      <c r="U562" s="189"/>
    </row>
    <row r="563" spans="4:21" x14ac:dyDescent="0.35">
      <c r="D563" s="189"/>
      <c r="E563" s="189"/>
      <c r="F563" s="189"/>
      <c r="G563" s="189"/>
      <c r="H563" s="189"/>
      <c r="I563" s="189"/>
      <c r="J563" s="189"/>
      <c r="K563" s="189"/>
      <c r="L563" s="189"/>
      <c r="M563" s="189"/>
      <c r="N563" s="189"/>
      <c r="O563" s="189"/>
      <c r="P563" s="189"/>
      <c r="Q563" s="189"/>
      <c r="R563" s="189"/>
      <c r="S563" s="189"/>
      <c r="T563" s="189"/>
      <c r="U563" s="189"/>
    </row>
    <row r="564" spans="4:21" x14ac:dyDescent="0.35">
      <c r="D564" s="189"/>
      <c r="E564" s="189"/>
      <c r="F564" s="189"/>
      <c r="G564" s="189"/>
      <c r="H564" s="189"/>
      <c r="I564" s="189"/>
      <c r="J564" s="189"/>
      <c r="K564" s="189"/>
      <c r="L564" s="189"/>
      <c r="M564" s="189"/>
      <c r="N564" s="189"/>
      <c r="O564" s="189"/>
      <c r="P564" s="189"/>
      <c r="Q564" s="189"/>
      <c r="R564" s="189"/>
      <c r="S564" s="189"/>
      <c r="T564" s="189"/>
      <c r="U564" s="189"/>
    </row>
    <row r="565" spans="4:21" x14ac:dyDescent="0.35">
      <c r="D565" s="189"/>
      <c r="E565" s="189"/>
      <c r="F565" s="189"/>
      <c r="G565" s="189"/>
      <c r="H565" s="189"/>
      <c r="I565" s="189"/>
      <c r="J565" s="189"/>
      <c r="K565" s="189"/>
      <c r="L565" s="189"/>
      <c r="M565" s="189"/>
      <c r="N565" s="189"/>
      <c r="O565" s="189"/>
      <c r="P565" s="189"/>
      <c r="Q565" s="189"/>
      <c r="R565" s="189"/>
      <c r="S565" s="189"/>
      <c r="T565" s="189"/>
      <c r="U565" s="189"/>
    </row>
    <row r="566" spans="4:21" x14ac:dyDescent="0.35">
      <c r="D566" s="189"/>
      <c r="E566" s="189"/>
      <c r="F566" s="189"/>
      <c r="G566" s="189"/>
      <c r="H566" s="189"/>
      <c r="I566" s="189"/>
      <c r="J566" s="189"/>
      <c r="K566" s="189"/>
      <c r="L566" s="189"/>
      <c r="M566" s="189"/>
      <c r="N566" s="189"/>
      <c r="O566" s="189"/>
      <c r="P566" s="189"/>
      <c r="Q566" s="189"/>
      <c r="R566" s="189"/>
      <c r="S566" s="189"/>
      <c r="T566" s="189"/>
      <c r="U566" s="189"/>
    </row>
    <row r="567" spans="4:21" x14ac:dyDescent="0.35">
      <c r="D567" s="189"/>
      <c r="E567" s="189"/>
      <c r="F567" s="189"/>
      <c r="G567" s="189"/>
      <c r="H567" s="189"/>
      <c r="I567" s="189"/>
      <c r="J567" s="189"/>
      <c r="K567" s="189"/>
      <c r="L567" s="189"/>
      <c r="M567" s="189"/>
      <c r="N567" s="189"/>
      <c r="O567" s="189"/>
      <c r="P567" s="189"/>
      <c r="Q567" s="189"/>
      <c r="R567" s="189"/>
      <c r="S567" s="189"/>
      <c r="T567" s="189"/>
      <c r="U567" s="189"/>
    </row>
    <row r="568" spans="4:21" x14ac:dyDescent="0.35">
      <c r="D568" s="189"/>
      <c r="E568" s="189"/>
      <c r="F568" s="189"/>
      <c r="G568" s="189"/>
      <c r="H568" s="189"/>
      <c r="I568" s="189"/>
      <c r="J568" s="189"/>
      <c r="K568" s="189"/>
      <c r="L568" s="189"/>
      <c r="M568" s="189"/>
      <c r="N568" s="189"/>
      <c r="O568" s="189"/>
      <c r="P568" s="189"/>
      <c r="Q568" s="189"/>
      <c r="R568" s="189"/>
      <c r="S568" s="189"/>
      <c r="T568" s="189"/>
      <c r="U568" s="189"/>
    </row>
    <row r="569" spans="4:21" x14ac:dyDescent="0.35">
      <c r="D569" s="189"/>
      <c r="E569" s="189"/>
      <c r="F569" s="189"/>
      <c r="G569" s="189"/>
      <c r="H569" s="189"/>
      <c r="I569" s="189"/>
      <c r="J569" s="189"/>
      <c r="K569" s="189"/>
      <c r="L569" s="189"/>
      <c r="M569" s="189"/>
      <c r="N569" s="189"/>
      <c r="O569" s="189"/>
      <c r="P569" s="189"/>
      <c r="Q569" s="189"/>
      <c r="R569" s="189"/>
      <c r="S569" s="189"/>
      <c r="T569" s="189"/>
      <c r="U569" s="189"/>
    </row>
    <row r="570" spans="4:21" x14ac:dyDescent="0.35">
      <c r="D570" s="189"/>
      <c r="E570" s="189"/>
      <c r="F570" s="189"/>
      <c r="G570" s="189"/>
      <c r="H570" s="189"/>
      <c r="I570" s="189"/>
      <c r="J570" s="189"/>
      <c r="K570" s="189"/>
      <c r="L570" s="189"/>
      <c r="M570" s="189"/>
      <c r="N570" s="189"/>
      <c r="O570" s="189"/>
      <c r="P570" s="189"/>
      <c r="Q570" s="189"/>
      <c r="R570" s="189"/>
      <c r="S570" s="189"/>
      <c r="T570" s="189"/>
      <c r="U570" s="189"/>
    </row>
    <row r="571" spans="4:21" x14ac:dyDescent="0.35">
      <c r="D571" s="189"/>
      <c r="E571" s="189"/>
      <c r="F571" s="189"/>
      <c r="G571" s="189"/>
      <c r="H571" s="189"/>
      <c r="I571" s="189"/>
      <c r="J571" s="189"/>
      <c r="K571" s="189"/>
      <c r="L571" s="189"/>
      <c r="M571" s="189"/>
      <c r="N571" s="189"/>
      <c r="O571" s="189"/>
      <c r="P571" s="189"/>
      <c r="Q571" s="189"/>
      <c r="R571" s="189"/>
      <c r="S571" s="189"/>
      <c r="T571" s="189"/>
      <c r="U571" s="189"/>
    </row>
    <row r="572" spans="4:21" x14ac:dyDescent="0.35">
      <c r="D572" s="189"/>
      <c r="E572" s="189"/>
      <c r="F572" s="189"/>
      <c r="G572" s="189"/>
      <c r="H572" s="189"/>
      <c r="I572" s="189"/>
      <c r="J572" s="189"/>
      <c r="K572" s="189"/>
      <c r="L572" s="189"/>
      <c r="M572" s="189"/>
      <c r="N572" s="189"/>
      <c r="O572" s="189"/>
      <c r="P572" s="189"/>
      <c r="Q572" s="189"/>
      <c r="R572" s="189"/>
      <c r="S572" s="189"/>
      <c r="T572" s="189"/>
      <c r="U572" s="189"/>
    </row>
    <row r="573" spans="4:21" x14ac:dyDescent="0.35">
      <c r="D573" s="189"/>
      <c r="E573" s="189"/>
      <c r="F573" s="189"/>
      <c r="G573" s="189"/>
      <c r="H573" s="189"/>
      <c r="I573" s="189"/>
      <c r="J573" s="189"/>
      <c r="K573" s="189"/>
      <c r="L573" s="189"/>
      <c r="M573" s="189"/>
      <c r="N573" s="189"/>
      <c r="O573" s="189"/>
      <c r="P573" s="189"/>
      <c r="Q573" s="189"/>
      <c r="R573" s="189"/>
      <c r="S573" s="189"/>
      <c r="T573" s="189"/>
      <c r="U573" s="189"/>
    </row>
    <row r="574" spans="4:21" x14ac:dyDescent="0.35">
      <c r="D574" s="189"/>
      <c r="E574" s="189"/>
      <c r="F574" s="189"/>
      <c r="G574" s="189"/>
      <c r="H574" s="189"/>
      <c r="I574" s="189"/>
      <c r="J574" s="189"/>
      <c r="K574" s="189"/>
      <c r="L574" s="189"/>
      <c r="M574" s="189"/>
      <c r="N574" s="189"/>
      <c r="O574" s="189"/>
      <c r="P574" s="189"/>
      <c r="Q574" s="189"/>
      <c r="R574" s="189"/>
      <c r="S574" s="189"/>
      <c r="T574" s="189"/>
      <c r="U574" s="189"/>
    </row>
    <row r="575" spans="4:21" x14ac:dyDescent="0.35">
      <c r="D575" s="189"/>
      <c r="E575" s="189"/>
      <c r="F575" s="189"/>
      <c r="G575" s="189"/>
      <c r="H575" s="189"/>
      <c r="I575" s="189"/>
      <c r="J575" s="189"/>
      <c r="K575" s="189"/>
      <c r="L575" s="189"/>
      <c r="M575" s="189"/>
      <c r="N575" s="189"/>
      <c r="O575" s="189"/>
      <c r="P575" s="189"/>
      <c r="Q575" s="189"/>
      <c r="R575" s="189"/>
      <c r="S575" s="189"/>
      <c r="T575" s="189"/>
      <c r="U575" s="189"/>
    </row>
    <row r="576" spans="4:21" x14ac:dyDescent="0.35">
      <c r="D576" s="189"/>
      <c r="E576" s="189"/>
      <c r="F576" s="189"/>
      <c r="G576" s="189"/>
      <c r="H576" s="189"/>
      <c r="I576" s="189"/>
      <c r="J576" s="189"/>
      <c r="K576" s="189"/>
      <c r="L576" s="189"/>
      <c r="M576" s="189"/>
      <c r="N576" s="189"/>
      <c r="O576" s="189"/>
      <c r="P576" s="189"/>
      <c r="Q576" s="189"/>
      <c r="R576" s="189"/>
      <c r="S576" s="189"/>
      <c r="T576" s="189"/>
      <c r="U576" s="189"/>
    </row>
    <row r="577" spans="4:21" x14ac:dyDescent="0.35">
      <c r="D577" s="189"/>
      <c r="E577" s="189"/>
      <c r="F577" s="189"/>
      <c r="G577" s="189"/>
      <c r="H577" s="189"/>
      <c r="I577" s="189"/>
      <c r="J577" s="189"/>
      <c r="K577" s="189"/>
      <c r="L577" s="189"/>
      <c r="M577" s="189"/>
      <c r="N577" s="189"/>
      <c r="O577" s="189"/>
      <c r="P577" s="189"/>
      <c r="Q577" s="189"/>
      <c r="R577" s="189"/>
      <c r="S577" s="189"/>
      <c r="T577" s="189"/>
      <c r="U577" s="189"/>
    </row>
    <row r="578" spans="4:21" x14ac:dyDescent="0.35">
      <c r="D578" s="189"/>
      <c r="E578" s="189"/>
      <c r="F578" s="189"/>
      <c r="G578" s="189"/>
      <c r="H578" s="189"/>
      <c r="I578" s="189"/>
      <c r="J578" s="189"/>
      <c r="K578" s="189"/>
      <c r="L578" s="189"/>
      <c r="M578" s="189"/>
      <c r="N578" s="189"/>
      <c r="O578" s="189"/>
      <c r="P578" s="189"/>
      <c r="Q578" s="189"/>
      <c r="R578" s="189"/>
      <c r="S578" s="189"/>
      <c r="T578" s="189"/>
      <c r="U578" s="189"/>
    </row>
    <row r="579" spans="4:21" x14ac:dyDescent="0.35">
      <c r="D579" s="189"/>
      <c r="E579" s="189"/>
      <c r="F579" s="189"/>
      <c r="G579" s="189"/>
      <c r="H579" s="189"/>
      <c r="I579" s="189"/>
      <c r="J579" s="189"/>
      <c r="K579" s="189"/>
      <c r="L579" s="189"/>
      <c r="M579" s="189"/>
      <c r="N579" s="189"/>
      <c r="O579" s="189"/>
      <c r="P579" s="189"/>
      <c r="Q579" s="189"/>
      <c r="R579" s="189"/>
      <c r="S579" s="189"/>
      <c r="T579" s="189"/>
      <c r="U579" s="189"/>
    </row>
    <row r="580" spans="4:21" x14ac:dyDescent="0.35">
      <c r="D580" s="189"/>
      <c r="E580" s="189"/>
      <c r="F580" s="189"/>
      <c r="G580" s="189"/>
      <c r="H580" s="189"/>
      <c r="I580" s="189"/>
      <c r="J580" s="189"/>
      <c r="K580" s="189"/>
      <c r="L580" s="189"/>
      <c r="M580" s="189"/>
      <c r="N580" s="189"/>
      <c r="O580" s="189"/>
      <c r="P580" s="189"/>
      <c r="Q580" s="189"/>
      <c r="R580" s="189"/>
      <c r="S580" s="189"/>
      <c r="T580" s="189"/>
      <c r="U580" s="189"/>
    </row>
    <row r="581" spans="4:21" x14ac:dyDescent="0.35">
      <c r="D581" s="189"/>
      <c r="E581" s="189"/>
      <c r="F581" s="189"/>
      <c r="G581" s="189"/>
      <c r="H581" s="189"/>
      <c r="I581" s="189"/>
      <c r="J581" s="189"/>
      <c r="K581" s="189"/>
      <c r="L581" s="189"/>
      <c r="M581" s="189"/>
      <c r="N581" s="189"/>
      <c r="O581" s="189"/>
      <c r="P581" s="189"/>
      <c r="Q581" s="189"/>
      <c r="R581" s="189"/>
      <c r="S581" s="189"/>
      <c r="T581" s="189"/>
      <c r="U581" s="189"/>
    </row>
    <row r="582" spans="4:21" x14ac:dyDescent="0.35">
      <c r="D582" s="189"/>
      <c r="E582" s="189"/>
      <c r="F582" s="189"/>
      <c r="G582" s="189"/>
      <c r="H582" s="189"/>
      <c r="I582" s="189"/>
      <c r="J582" s="189"/>
      <c r="K582" s="189"/>
      <c r="L582" s="189"/>
      <c r="M582" s="189"/>
      <c r="N582" s="189"/>
      <c r="O582" s="189"/>
      <c r="P582" s="189"/>
      <c r="Q582" s="189"/>
      <c r="R582" s="189"/>
      <c r="S582" s="189"/>
      <c r="T582" s="189"/>
      <c r="U582" s="189"/>
    </row>
    <row r="583" spans="4:21" x14ac:dyDescent="0.35">
      <c r="D583" s="189"/>
      <c r="E583" s="189"/>
      <c r="F583" s="189"/>
      <c r="G583" s="189"/>
      <c r="H583" s="189"/>
      <c r="I583" s="189"/>
      <c r="J583" s="189"/>
      <c r="K583" s="189"/>
      <c r="L583" s="189"/>
      <c r="M583" s="189"/>
      <c r="N583" s="189"/>
      <c r="O583" s="189"/>
      <c r="P583" s="189"/>
      <c r="Q583" s="189"/>
      <c r="R583" s="189"/>
      <c r="S583" s="189"/>
      <c r="T583" s="189"/>
      <c r="U583" s="189"/>
    </row>
    <row r="584" spans="4:21" x14ac:dyDescent="0.35">
      <c r="D584" s="189"/>
      <c r="E584" s="189"/>
      <c r="F584" s="189"/>
      <c r="G584" s="189"/>
      <c r="H584" s="189"/>
      <c r="I584" s="189"/>
      <c r="J584" s="189"/>
      <c r="K584" s="189"/>
      <c r="L584" s="189"/>
      <c r="M584" s="189"/>
      <c r="N584" s="189"/>
      <c r="O584" s="189"/>
      <c r="P584" s="189"/>
      <c r="Q584" s="189"/>
      <c r="R584" s="189"/>
      <c r="S584" s="189"/>
      <c r="T584" s="189"/>
      <c r="U584" s="189"/>
    </row>
    <row r="585" spans="4:21" x14ac:dyDescent="0.35">
      <c r="D585" s="189"/>
      <c r="E585" s="189"/>
      <c r="F585" s="189"/>
      <c r="G585" s="189"/>
      <c r="H585" s="189"/>
      <c r="I585" s="189"/>
      <c r="J585" s="189"/>
      <c r="K585" s="189"/>
      <c r="L585" s="189"/>
      <c r="M585" s="189"/>
      <c r="N585" s="189"/>
      <c r="O585" s="189"/>
      <c r="P585" s="189"/>
      <c r="Q585" s="189"/>
      <c r="R585" s="189"/>
      <c r="S585" s="189"/>
      <c r="T585" s="189"/>
      <c r="U585" s="189"/>
    </row>
    <row r="586" spans="4:21" x14ac:dyDescent="0.35">
      <c r="D586" s="189"/>
      <c r="E586" s="189"/>
      <c r="F586" s="189"/>
      <c r="G586" s="189"/>
      <c r="H586" s="189"/>
      <c r="I586" s="189"/>
      <c r="J586" s="189"/>
      <c r="K586" s="189"/>
      <c r="L586" s="189"/>
      <c r="M586" s="189"/>
      <c r="N586" s="189"/>
      <c r="O586" s="189"/>
      <c r="P586" s="189"/>
      <c r="Q586" s="189"/>
      <c r="R586" s="189"/>
      <c r="S586" s="189"/>
      <c r="T586" s="189"/>
      <c r="U586" s="189"/>
    </row>
    <row r="587" spans="4:21" x14ac:dyDescent="0.35">
      <c r="D587" s="189"/>
      <c r="E587" s="189"/>
      <c r="F587" s="189"/>
      <c r="G587" s="189"/>
      <c r="H587" s="189"/>
      <c r="I587" s="189"/>
      <c r="J587" s="189"/>
      <c r="K587" s="189"/>
      <c r="L587" s="189"/>
      <c r="M587" s="189"/>
      <c r="N587" s="189"/>
      <c r="O587" s="189"/>
      <c r="P587" s="189"/>
      <c r="Q587" s="189"/>
      <c r="R587" s="189"/>
      <c r="S587" s="189"/>
      <c r="T587" s="189"/>
      <c r="U587" s="189"/>
    </row>
    <row r="588" spans="4:21" x14ac:dyDescent="0.35">
      <c r="D588" s="189"/>
      <c r="E588" s="189"/>
      <c r="F588" s="189"/>
      <c r="G588" s="189"/>
      <c r="H588" s="189"/>
      <c r="I588" s="189"/>
      <c r="J588" s="189"/>
      <c r="K588" s="189"/>
      <c r="L588" s="189"/>
      <c r="M588" s="189"/>
      <c r="N588" s="189"/>
      <c r="O588" s="189"/>
      <c r="P588" s="189"/>
      <c r="Q588" s="189"/>
      <c r="R588" s="189"/>
      <c r="S588" s="189"/>
      <c r="T588" s="189"/>
      <c r="U588" s="189"/>
    </row>
  </sheetData>
  <mergeCells count="36">
    <mergeCell ref="A124:B124"/>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14:B114"/>
    <mergeCell ref="A115:B115"/>
    <mergeCell ref="A116:B116"/>
    <mergeCell ref="A118:B118"/>
    <mergeCell ref="A121:B121"/>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U582"/>
  <sheetViews>
    <sheetView topLeftCell="A86" workbookViewId="0"/>
  </sheetViews>
  <sheetFormatPr defaultColWidth="9.1796875" defaultRowHeight="14.5" outlineLevelRow="1" x14ac:dyDescent="0.35"/>
  <cols>
    <col min="1" max="1" width="20.54296875" style="1" customWidth="1"/>
    <col min="2" max="2" width="19.453125" style="23" customWidth="1"/>
    <col min="3" max="3" width="7.453125" style="1" customWidth="1"/>
    <col min="4" max="18" width="10.26953125" style="1" customWidth="1"/>
    <col min="19" max="16384" width="9.1796875" style="1"/>
  </cols>
  <sheetData>
    <row r="1" spans="1:20" s="36" customFormat="1" ht="22.5" customHeight="1" x14ac:dyDescent="0.35">
      <c r="A1" s="37" t="s">
        <v>71</v>
      </c>
      <c r="B1" s="35"/>
    </row>
    <row r="2" spans="1:20" s="42" customFormat="1" ht="15.75" customHeight="1" x14ac:dyDescent="0.35">
      <c r="A2" s="38"/>
      <c r="B2" s="39"/>
      <c r="C2" s="40"/>
      <c r="D2" s="41"/>
      <c r="E2" s="41"/>
      <c r="F2" s="41"/>
      <c r="G2" s="41"/>
      <c r="H2" s="41"/>
      <c r="I2" s="41"/>
      <c r="J2" s="41"/>
      <c r="K2" s="41"/>
      <c r="L2" s="41"/>
      <c r="M2" s="41"/>
      <c r="N2" s="41"/>
      <c r="O2" s="41"/>
      <c r="P2" s="41"/>
      <c r="Q2" s="41"/>
      <c r="R2" s="41"/>
      <c r="S2" s="40"/>
      <c r="T2" s="40"/>
    </row>
    <row r="3" spans="1:20" s="42" customFormat="1" ht="18" customHeight="1" x14ac:dyDescent="0.35">
      <c r="A3" s="43"/>
      <c r="B3" s="44"/>
      <c r="C3" s="45"/>
      <c r="D3" s="46">
        <f>'2. Tulud-kulud projektiga'!D3</f>
        <v>2024</v>
      </c>
      <c r="E3" s="46">
        <f>D3+1</f>
        <v>2025</v>
      </c>
      <c r="F3" s="46">
        <f t="shared" ref="F3:L3" si="0">E3+1</f>
        <v>2026</v>
      </c>
      <c r="G3" s="46">
        <f t="shared" si="0"/>
        <v>2027</v>
      </c>
      <c r="H3" s="46">
        <f t="shared" si="0"/>
        <v>2028</v>
      </c>
      <c r="I3" s="46">
        <f t="shared" si="0"/>
        <v>2029</v>
      </c>
      <c r="J3" s="46">
        <f t="shared" si="0"/>
        <v>2030</v>
      </c>
      <c r="K3" s="46">
        <f t="shared" si="0"/>
        <v>2031</v>
      </c>
      <c r="L3" s="46">
        <f t="shared" si="0"/>
        <v>2032</v>
      </c>
      <c r="M3" s="46">
        <f t="shared" ref="M3:P3" si="1">L3+1</f>
        <v>2033</v>
      </c>
      <c r="N3" s="46">
        <f t="shared" si="1"/>
        <v>2034</v>
      </c>
      <c r="O3" s="46">
        <f t="shared" si="1"/>
        <v>2035</v>
      </c>
      <c r="P3" s="46">
        <f t="shared" si="1"/>
        <v>2036</v>
      </c>
      <c r="Q3" s="46">
        <f t="shared" ref="Q3" si="2">P3+1</f>
        <v>2037</v>
      </c>
      <c r="R3" s="46">
        <f t="shared" ref="R3" si="3">Q3+1</f>
        <v>2038</v>
      </c>
      <c r="S3" s="40"/>
      <c r="T3" s="40"/>
    </row>
    <row r="4" spans="1:20" ht="4.5" customHeight="1" x14ac:dyDescent="0.35">
      <c r="A4" s="4"/>
      <c r="B4" s="25"/>
      <c r="C4" s="32"/>
      <c r="D4" s="33"/>
      <c r="E4" s="33"/>
      <c r="F4" s="33"/>
      <c r="G4" s="33"/>
      <c r="H4" s="33"/>
      <c r="I4" s="33"/>
      <c r="J4" s="33"/>
      <c r="K4" s="33"/>
      <c r="L4" s="33"/>
      <c r="M4" s="33"/>
      <c r="N4" s="33"/>
      <c r="O4" s="33"/>
      <c r="P4" s="33"/>
      <c r="Q4" s="33"/>
      <c r="R4" s="34"/>
      <c r="S4" s="7"/>
      <c r="T4" s="7"/>
    </row>
    <row r="5" spans="1:20" ht="18" customHeight="1" x14ac:dyDescent="0.35">
      <c r="A5" s="31" t="s">
        <v>60</v>
      </c>
      <c r="B5" s="27"/>
      <c r="C5" s="28" t="s">
        <v>2</v>
      </c>
      <c r="D5" s="29"/>
      <c r="E5" s="29"/>
      <c r="F5" s="29"/>
      <c r="G5" s="29"/>
      <c r="H5" s="29"/>
      <c r="I5" s="29"/>
      <c r="J5" s="29"/>
      <c r="K5" s="29"/>
      <c r="L5" s="29"/>
      <c r="M5" s="29"/>
      <c r="N5" s="29"/>
      <c r="O5" s="29"/>
      <c r="P5" s="29"/>
      <c r="Q5" s="29"/>
      <c r="R5" s="30"/>
      <c r="S5" s="7"/>
      <c r="T5" s="7"/>
    </row>
    <row r="6" spans="1:20" ht="4.5" customHeight="1" x14ac:dyDescent="0.35">
      <c r="A6" s="4"/>
      <c r="B6" s="25"/>
      <c r="C6" s="9"/>
      <c r="D6" s="9"/>
      <c r="E6" s="9"/>
      <c r="F6" s="9"/>
      <c r="G6" s="9"/>
      <c r="H6" s="9"/>
      <c r="I6" s="9"/>
      <c r="J6" s="9"/>
      <c r="K6" s="9"/>
      <c r="L6" s="9"/>
      <c r="M6" s="9"/>
      <c r="N6" s="9"/>
      <c r="O6" s="9"/>
      <c r="P6" s="9"/>
      <c r="Q6" s="9"/>
      <c r="R6" s="10"/>
      <c r="S6" s="7"/>
      <c r="T6" s="7"/>
    </row>
    <row r="7" spans="1:20" ht="15.75" customHeight="1" x14ac:dyDescent="0.35">
      <c r="A7" s="811" t="str">
        <f>'2. Tulud-kulud projektiga'!A7:A9</f>
        <v>Üüritulud. 1 korrus. Kohvik</v>
      </c>
      <c r="B7" s="50" t="str">
        <f>'2. Tulud-kulud projektiga'!B7</f>
        <v>Kuu</v>
      </c>
      <c r="C7" s="51" t="str">
        <f>'2. Tulud-kulud projektiga'!C7</f>
        <v>m2</v>
      </c>
      <c r="D7" s="11">
        <f>'2. Tulud-kulud projektiga'!D7-'3. Tulud-kulud projektita'!D7</f>
        <v>0</v>
      </c>
      <c r="E7" s="11">
        <f>'2. Tulud-kulud projektiga'!E7-'3. Tulud-kulud projektita'!E7</f>
        <v>0</v>
      </c>
      <c r="F7" s="11">
        <f>'2. Tulud-kulud projektiga'!F7-'3. Tulud-kulud projektita'!F7</f>
        <v>132.5</v>
      </c>
      <c r="G7" s="11">
        <f>'2. Tulud-kulud projektiga'!G7-'3. Tulud-kulud projektita'!G7</f>
        <v>132.5</v>
      </c>
      <c r="H7" s="11">
        <f>'2. Tulud-kulud projektiga'!H7-'3. Tulud-kulud projektita'!H7</f>
        <v>132.5</v>
      </c>
      <c r="I7" s="11">
        <f>'2. Tulud-kulud projektiga'!I7-'3. Tulud-kulud projektita'!I7</f>
        <v>132.5</v>
      </c>
      <c r="J7" s="11">
        <f>'2. Tulud-kulud projektiga'!J7-'3. Tulud-kulud projektita'!J7</f>
        <v>132.5</v>
      </c>
      <c r="K7" s="11">
        <f>'2. Tulud-kulud projektiga'!K7-'3. Tulud-kulud projektita'!K7</f>
        <v>132.5</v>
      </c>
      <c r="L7" s="11">
        <f>'2. Tulud-kulud projektiga'!L7-'3. Tulud-kulud projektita'!L7</f>
        <v>132.5</v>
      </c>
      <c r="M7" s="11">
        <f>'2. Tulud-kulud projektiga'!M7-'3. Tulud-kulud projektita'!M7</f>
        <v>132.5</v>
      </c>
      <c r="N7" s="11">
        <f>'2. Tulud-kulud projektiga'!N7-'3. Tulud-kulud projektita'!N7</f>
        <v>132.5</v>
      </c>
      <c r="O7" s="11">
        <f>'2. Tulud-kulud projektiga'!O7-'3. Tulud-kulud projektita'!O7</f>
        <v>132.5</v>
      </c>
      <c r="P7" s="11">
        <f>'2. Tulud-kulud projektiga'!P7-'3. Tulud-kulud projektita'!P7</f>
        <v>132.5</v>
      </c>
      <c r="Q7" s="11">
        <f>'2. Tulud-kulud projektiga'!Q7-'3. Tulud-kulud projektita'!Q7</f>
        <v>132.5</v>
      </c>
      <c r="R7" s="11">
        <f>'2. Tulud-kulud projektiga'!R7-'3. Tulud-kulud projektita'!R7</f>
        <v>132.5</v>
      </c>
      <c r="S7" s="7"/>
      <c r="T7" s="7"/>
    </row>
    <row r="8" spans="1:20" ht="15.75" customHeight="1" x14ac:dyDescent="0.35">
      <c r="A8" s="811"/>
      <c r="B8" s="50" t="s">
        <v>0</v>
      </c>
      <c r="C8" s="51" t="s">
        <v>3</v>
      </c>
      <c r="D8" s="11">
        <f>'2. Tulud-kulud projektiga'!D8-'3. Tulud-kulud projektita'!D8</f>
        <v>0</v>
      </c>
      <c r="E8" s="11">
        <f>'2. Tulud-kulud projektiga'!E8-'3. Tulud-kulud projektita'!E8</f>
        <v>0</v>
      </c>
      <c r="F8" s="11">
        <f>'2. Tulud-kulud projektiga'!F8-'3. Tulud-kulud projektita'!F8</f>
        <v>20</v>
      </c>
      <c r="G8" s="11">
        <f>'2. Tulud-kulud projektiga'!G8-'3. Tulud-kulud projektita'!G8</f>
        <v>60</v>
      </c>
      <c r="H8" s="11">
        <f>'2. Tulud-kulud projektiga'!H8-'3. Tulud-kulud projektita'!H8</f>
        <v>60</v>
      </c>
      <c r="I8" s="11">
        <f>'2. Tulud-kulud projektiga'!I8-'3. Tulud-kulud projektita'!I8</f>
        <v>60</v>
      </c>
      <c r="J8" s="11">
        <f>'2. Tulud-kulud projektiga'!J8-'3. Tulud-kulud projektita'!J8</f>
        <v>60</v>
      </c>
      <c r="K8" s="11">
        <f>'2. Tulud-kulud projektiga'!K8-'3. Tulud-kulud projektita'!K8</f>
        <v>60</v>
      </c>
      <c r="L8" s="11">
        <f>'2. Tulud-kulud projektiga'!L8-'3. Tulud-kulud projektita'!L8</f>
        <v>60</v>
      </c>
      <c r="M8" s="11">
        <f>'2. Tulud-kulud projektiga'!M8-'3. Tulud-kulud projektita'!M8</f>
        <v>60</v>
      </c>
      <c r="N8" s="11">
        <f>'2. Tulud-kulud projektiga'!N8-'3. Tulud-kulud projektita'!N8</f>
        <v>60</v>
      </c>
      <c r="O8" s="11">
        <f>'2. Tulud-kulud projektiga'!O8-'3. Tulud-kulud projektita'!O8</f>
        <v>60</v>
      </c>
      <c r="P8" s="11">
        <f>'2. Tulud-kulud projektiga'!P8-'3. Tulud-kulud projektita'!P8</f>
        <v>60</v>
      </c>
      <c r="Q8" s="11">
        <f>'2. Tulud-kulud projektiga'!Q8-'3. Tulud-kulud projektita'!Q8</f>
        <v>60</v>
      </c>
      <c r="R8" s="11">
        <f>'2. Tulud-kulud projektiga'!R8-'3. Tulud-kulud projektita'!R8</f>
        <v>60</v>
      </c>
      <c r="S8" s="7"/>
      <c r="T8" s="7"/>
    </row>
    <row r="9" spans="1:20" ht="15.75" customHeight="1" x14ac:dyDescent="0.35">
      <c r="A9" s="811"/>
      <c r="B9" s="52" t="s">
        <v>1</v>
      </c>
      <c r="C9" s="53" t="s">
        <v>3</v>
      </c>
      <c r="D9" s="54">
        <f>'2. Tulud-kulud projektiga'!D9-'3. Tulud-kulud projektita'!D9</f>
        <v>0</v>
      </c>
      <c r="E9" s="54">
        <f>'2. Tulud-kulud projektiga'!E9-'3. Tulud-kulud projektita'!E9</f>
        <v>0</v>
      </c>
      <c r="F9" s="54">
        <f>'2. Tulud-kulud projektiga'!F9-'3. Tulud-kulud projektita'!F9</f>
        <v>2650</v>
      </c>
      <c r="G9" s="54">
        <f>'2. Tulud-kulud projektiga'!G9-'3. Tulud-kulud projektita'!G9</f>
        <v>7950</v>
      </c>
      <c r="H9" s="54">
        <f>'2. Tulud-kulud projektiga'!H9-'3. Tulud-kulud projektita'!H9</f>
        <v>7950</v>
      </c>
      <c r="I9" s="54">
        <f>'2. Tulud-kulud projektiga'!I9-'3. Tulud-kulud projektita'!I9</f>
        <v>7950</v>
      </c>
      <c r="J9" s="54">
        <f>'2. Tulud-kulud projektiga'!J9-'3. Tulud-kulud projektita'!J9</f>
        <v>7950</v>
      </c>
      <c r="K9" s="54">
        <f>'2. Tulud-kulud projektiga'!K9-'3. Tulud-kulud projektita'!K9</f>
        <v>7950</v>
      </c>
      <c r="L9" s="54">
        <f>'2. Tulud-kulud projektiga'!L9-'3. Tulud-kulud projektita'!L9</f>
        <v>7950</v>
      </c>
      <c r="M9" s="54">
        <f>'2. Tulud-kulud projektiga'!M9-'3. Tulud-kulud projektita'!M9</f>
        <v>7950</v>
      </c>
      <c r="N9" s="54">
        <f>'2. Tulud-kulud projektiga'!N9-'3. Tulud-kulud projektita'!N9</f>
        <v>7950</v>
      </c>
      <c r="O9" s="54">
        <f>'2. Tulud-kulud projektiga'!O9-'3. Tulud-kulud projektita'!O9</f>
        <v>7950</v>
      </c>
      <c r="P9" s="54">
        <f>'2. Tulud-kulud projektiga'!P9-'3. Tulud-kulud projektita'!P9</f>
        <v>7950</v>
      </c>
      <c r="Q9" s="54">
        <f>'2. Tulud-kulud projektiga'!Q9-'3. Tulud-kulud projektita'!Q9</f>
        <v>7950</v>
      </c>
      <c r="R9" s="54">
        <f>'2. Tulud-kulud projektiga'!R9-'3. Tulud-kulud projektita'!R9</f>
        <v>7950</v>
      </c>
      <c r="S9" s="7"/>
      <c r="T9" s="7"/>
    </row>
    <row r="10" spans="1:20" ht="4.5" customHeight="1" x14ac:dyDescent="0.35">
      <c r="A10" s="47"/>
      <c r="B10" s="26"/>
      <c r="C10" s="12"/>
      <c r="D10" s="12"/>
      <c r="E10" s="12"/>
      <c r="F10" s="12"/>
      <c r="G10" s="12"/>
      <c r="H10" s="12"/>
      <c r="I10" s="12"/>
      <c r="J10" s="12"/>
      <c r="K10" s="12"/>
      <c r="L10" s="12"/>
      <c r="M10" s="12"/>
      <c r="N10" s="12"/>
      <c r="O10" s="12"/>
      <c r="P10" s="12"/>
      <c r="Q10" s="12"/>
      <c r="R10" s="12"/>
      <c r="S10" s="7"/>
      <c r="T10" s="7"/>
    </row>
    <row r="11" spans="1:20" x14ac:dyDescent="0.35">
      <c r="A11" s="811" t="str">
        <f>'2. Tulud-kulud projektiga'!A11:A13</f>
        <v>Üüritulud. 2 korrus. Üüriruumid</v>
      </c>
      <c r="B11" s="50" t="str">
        <f>'2. Tulud-kulud projektiga'!B11</f>
        <v>Kuu</v>
      </c>
      <c r="C11" s="51" t="str">
        <f>'2. Tulud-kulud projektiga'!C11</f>
        <v>m2</v>
      </c>
      <c r="D11" s="11">
        <f>'2. Tulud-kulud projektiga'!D11-'3. Tulud-kulud projektita'!D11</f>
        <v>0</v>
      </c>
      <c r="E11" s="11">
        <f>'2. Tulud-kulud projektiga'!E11-'3. Tulud-kulud projektita'!E11</f>
        <v>0</v>
      </c>
      <c r="F11" s="11">
        <f>'2. Tulud-kulud projektiga'!F11-'3. Tulud-kulud projektita'!F11</f>
        <v>273.39999999999998</v>
      </c>
      <c r="G11" s="11">
        <f>'2. Tulud-kulud projektiga'!G11-'3. Tulud-kulud projektita'!G11</f>
        <v>273.39999999999998</v>
      </c>
      <c r="H11" s="11">
        <f>'2. Tulud-kulud projektiga'!H11-'3. Tulud-kulud projektita'!H11</f>
        <v>273.39999999999998</v>
      </c>
      <c r="I11" s="11">
        <f>'2. Tulud-kulud projektiga'!I11-'3. Tulud-kulud projektita'!I11</f>
        <v>273.39999999999998</v>
      </c>
      <c r="J11" s="11">
        <f>'2. Tulud-kulud projektiga'!J11-'3. Tulud-kulud projektita'!J11</f>
        <v>273.39999999999998</v>
      </c>
      <c r="K11" s="11">
        <f>'2. Tulud-kulud projektiga'!K11-'3. Tulud-kulud projektita'!K11</f>
        <v>273.39999999999998</v>
      </c>
      <c r="L11" s="11">
        <f>'2. Tulud-kulud projektiga'!L11-'3. Tulud-kulud projektita'!L11</f>
        <v>273.39999999999998</v>
      </c>
      <c r="M11" s="11">
        <f>'2. Tulud-kulud projektiga'!M11-'3. Tulud-kulud projektita'!M11</f>
        <v>273.39999999999998</v>
      </c>
      <c r="N11" s="11">
        <f>'2. Tulud-kulud projektiga'!N11-'3. Tulud-kulud projektita'!N11</f>
        <v>273.39999999999998</v>
      </c>
      <c r="O11" s="11">
        <f>'2. Tulud-kulud projektiga'!O11-'3. Tulud-kulud projektita'!O11</f>
        <v>273.39999999999998</v>
      </c>
      <c r="P11" s="11">
        <f>'2. Tulud-kulud projektiga'!P11-'3. Tulud-kulud projektita'!P11</f>
        <v>273.39999999999998</v>
      </c>
      <c r="Q11" s="11">
        <f>'2. Tulud-kulud projektiga'!Q11-'3. Tulud-kulud projektita'!Q11</f>
        <v>273.39999999999998</v>
      </c>
      <c r="R11" s="11">
        <f>'2. Tulud-kulud projektiga'!R11-'3. Tulud-kulud projektita'!R11</f>
        <v>273.39999999999998</v>
      </c>
      <c r="S11" s="7"/>
      <c r="T11" s="7"/>
    </row>
    <row r="12" spans="1:20" x14ac:dyDescent="0.35">
      <c r="A12" s="811"/>
      <c r="B12" s="50" t="s">
        <v>0</v>
      </c>
      <c r="C12" s="51" t="s">
        <v>3</v>
      </c>
      <c r="D12" s="11">
        <f>'2. Tulud-kulud projektiga'!D12-'3. Tulud-kulud projektita'!D12</f>
        <v>0</v>
      </c>
      <c r="E12" s="11">
        <f>'2. Tulud-kulud projektiga'!E12-'3. Tulud-kulud projektita'!E12</f>
        <v>0</v>
      </c>
      <c r="F12" s="11">
        <f>'2. Tulud-kulud projektiga'!F12-'3. Tulud-kulud projektita'!F12</f>
        <v>28</v>
      </c>
      <c r="G12" s="11">
        <f>'2. Tulud-kulud projektiga'!G12-'3. Tulud-kulud projektita'!G12</f>
        <v>84</v>
      </c>
      <c r="H12" s="11">
        <f>'2. Tulud-kulud projektiga'!H12-'3. Tulud-kulud projektita'!H12</f>
        <v>84</v>
      </c>
      <c r="I12" s="11">
        <f>'2. Tulud-kulud projektiga'!I12-'3. Tulud-kulud projektita'!I12</f>
        <v>84</v>
      </c>
      <c r="J12" s="11">
        <f>'2. Tulud-kulud projektiga'!J12-'3. Tulud-kulud projektita'!J12</f>
        <v>84</v>
      </c>
      <c r="K12" s="11">
        <f>'2. Tulud-kulud projektiga'!K12-'3. Tulud-kulud projektita'!K12</f>
        <v>84</v>
      </c>
      <c r="L12" s="11">
        <f>'2. Tulud-kulud projektiga'!L12-'3. Tulud-kulud projektita'!L12</f>
        <v>84</v>
      </c>
      <c r="M12" s="11">
        <f>'2. Tulud-kulud projektiga'!M12-'3. Tulud-kulud projektita'!M12</f>
        <v>84</v>
      </c>
      <c r="N12" s="11">
        <f>'2. Tulud-kulud projektiga'!N12-'3. Tulud-kulud projektita'!N12</f>
        <v>84</v>
      </c>
      <c r="O12" s="11">
        <f>'2. Tulud-kulud projektiga'!O12-'3. Tulud-kulud projektita'!O12</f>
        <v>84</v>
      </c>
      <c r="P12" s="11">
        <f>'2. Tulud-kulud projektiga'!P12-'3. Tulud-kulud projektita'!P12</f>
        <v>84</v>
      </c>
      <c r="Q12" s="11">
        <f>'2. Tulud-kulud projektiga'!Q12-'3. Tulud-kulud projektita'!Q12</f>
        <v>84</v>
      </c>
      <c r="R12" s="11">
        <f>'2. Tulud-kulud projektiga'!R12-'3. Tulud-kulud projektita'!R12</f>
        <v>84</v>
      </c>
      <c r="S12" s="7"/>
      <c r="T12" s="7"/>
    </row>
    <row r="13" spans="1:20" x14ac:dyDescent="0.35">
      <c r="A13" s="811"/>
      <c r="B13" s="52" t="s">
        <v>1</v>
      </c>
      <c r="C13" s="53" t="s">
        <v>3</v>
      </c>
      <c r="D13" s="54">
        <f>'2. Tulud-kulud projektiga'!D13-'3. Tulud-kulud projektita'!D13</f>
        <v>0</v>
      </c>
      <c r="E13" s="54">
        <f>'2. Tulud-kulud projektiga'!E13-'3. Tulud-kulud projektita'!E13</f>
        <v>0</v>
      </c>
      <c r="F13" s="54">
        <f>'2. Tulud-kulud projektiga'!F13-'3. Tulud-kulud projektita'!F13</f>
        <v>7655.1999999999989</v>
      </c>
      <c r="G13" s="54">
        <f>'2. Tulud-kulud projektiga'!G13-'3. Tulud-kulud projektita'!G13</f>
        <v>22965.599999999999</v>
      </c>
      <c r="H13" s="54">
        <f>'2. Tulud-kulud projektiga'!H13-'3. Tulud-kulud projektita'!H13</f>
        <v>22965.599999999999</v>
      </c>
      <c r="I13" s="54">
        <f>'2. Tulud-kulud projektiga'!I13-'3. Tulud-kulud projektita'!I13</f>
        <v>22965.599999999999</v>
      </c>
      <c r="J13" s="54">
        <f>'2. Tulud-kulud projektiga'!J13-'3. Tulud-kulud projektita'!J13</f>
        <v>22965.599999999999</v>
      </c>
      <c r="K13" s="54">
        <f>'2. Tulud-kulud projektiga'!K13-'3. Tulud-kulud projektita'!K13</f>
        <v>22965.599999999999</v>
      </c>
      <c r="L13" s="54">
        <f>'2. Tulud-kulud projektiga'!L13-'3. Tulud-kulud projektita'!L13</f>
        <v>22965.599999999999</v>
      </c>
      <c r="M13" s="54">
        <f>'2. Tulud-kulud projektiga'!M13-'3. Tulud-kulud projektita'!M13</f>
        <v>22965.599999999999</v>
      </c>
      <c r="N13" s="54">
        <f>'2. Tulud-kulud projektiga'!N13-'3. Tulud-kulud projektita'!N13</f>
        <v>22965.599999999999</v>
      </c>
      <c r="O13" s="54">
        <f>'2. Tulud-kulud projektiga'!O13-'3. Tulud-kulud projektita'!O13</f>
        <v>22965.599999999999</v>
      </c>
      <c r="P13" s="54">
        <f>'2. Tulud-kulud projektiga'!P13-'3. Tulud-kulud projektita'!P13</f>
        <v>22965.599999999999</v>
      </c>
      <c r="Q13" s="54">
        <f>'2. Tulud-kulud projektiga'!Q13-'3. Tulud-kulud projektita'!Q13</f>
        <v>22965.599999999999</v>
      </c>
      <c r="R13" s="54">
        <f>'2. Tulud-kulud projektiga'!R13-'3. Tulud-kulud projektita'!R13</f>
        <v>22965.599999999999</v>
      </c>
      <c r="S13" s="7"/>
      <c r="T13" s="7"/>
    </row>
    <row r="14" spans="1:20" ht="4.5" customHeight="1" x14ac:dyDescent="0.35">
      <c r="A14" s="47"/>
      <c r="B14" s="26"/>
      <c r="C14" s="12"/>
      <c r="D14" s="12"/>
      <c r="E14" s="12"/>
      <c r="F14" s="12"/>
      <c r="G14" s="12"/>
      <c r="H14" s="12"/>
      <c r="I14" s="12"/>
      <c r="J14" s="12"/>
      <c r="K14" s="12"/>
      <c r="L14" s="12"/>
      <c r="M14" s="12"/>
      <c r="N14" s="12"/>
      <c r="O14" s="12"/>
      <c r="P14" s="12"/>
      <c r="Q14" s="12"/>
      <c r="R14" s="12"/>
      <c r="S14" s="7"/>
      <c r="T14" s="7"/>
    </row>
    <row r="15" spans="1:20" x14ac:dyDescent="0.35">
      <c r="A15" s="811" t="str">
        <f>'2. Tulud-kulud projektiga'!A15:A17</f>
        <v>Üüritulud. 3 korrus. Üüriruumid</v>
      </c>
      <c r="B15" s="50" t="str">
        <f>'2. Tulud-kulud projektiga'!B15</f>
        <v>Ühik 3</v>
      </c>
      <c r="C15" s="51" t="str">
        <f>'2. Tulud-kulud projektiga'!C15</f>
        <v>m2</v>
      </c>
      <c r="D15" s="11">
        <f>'2. Tulud-kulud projektiga'!D15-'3. Tulud-kulud projektita'!D15</f>
        <v>0</v>
      </c>
      <c r="E15" s="11">
        <f>'2. Tulud-kulud projektiga'!E15-'3. Tulud-kulud projektita'!E15</f>
        <v>0</v>
      </c>
      <c r="F15" s="11">
        <f>'2. Tulud-kulud projektiga'!F15-'3. Tulud-kulud projektita'!F15</f>
        <v>26.4</v>
      </c>
      <c r="G15" s="11">
        <f>'2. Tulud-kulud projektiga'!G15-'3. Tulud-kulud projektita'!G15</f>
        <v>26.4</v>
      </c>
      <c r="H15" s="11">
        <f>'2. Tulud-kulud projektiga'!H15-'3. Tulud-kulud projektita'!H15</f>
        <v>26.4</v>
      </c>
      <c r="I15" s="11">
        <f>'2. Tulud-kulud projektiga'!I15-'3. Tulud-kulud projektita'!I15</f>
        <v>52.8</v>
      </c>
      <c r="J15" s="11">
        <f>'2. Tulud-kulud projektiga'!J15-'3. Tulud-kulud projektita'!J15</f>
        <v>52.8</v>
      </c>
      <c r="K15" s="11">
        <f>'2. Tulud-kulud projektiga'!K15-'3. Tulud-kulud projektita'!K15</f>
        <v>52.8</v>
      </c>
      <c r="L15" s="11">
        <f>'2. Tulud-kulud projektiga'!L15-'3. Tulud-kulud projektita'!L15</f>
        <v>52.8</v>
      </c>
      <c r="M15" s="11">
        <f>'2. Tulud-kulud projektiga'!M15-'3. Tulud-kulud projektita'!M15</f>
        <v>79.199999999999989</v>
      </c>
      <c r="N15" s="11">
        <f>'2. Tulud-kulud projektiga'!N15-'3. Tulud-kulud projektita'!N15</f>
        <v>79.199999999999989</v>
      </c>
      <c r="O15" s="11">
        <f>'2. Tulud-kulud projektiga'!O15-'3. Tulud-kulud projektita'!O15</f>
        <v>79.199999999999989</v>
      </c>
      <c r="P15" s="11">
        <f>'2. Tulud-kulud projektiga'!P15-'3. Tulud-kulud projektita'!P15</f>
        <v>79.199999999999989</v>
      </c>
      <c r="Q15" s="11">
        <f>'2. Tulud-kulud projektiga'!Q15-'3. Tulud-kulud projektita'!Q15</f>
        <v>79.199999999999989</v>
      </c>
      <c r="R15" s="11">
        <f>'2. Tulud-kulud projektiga'!R15-'3. Tulud-kulud projektita'!R15</f>
        <v>79.199999999999989</v>
      </c>
      <c r="S15" s="7"/>
      <c r="T15" s="7"/>
    </row>
    <row r="16" spans="1:20" x14ac:dyDescent="0.35">
      <c r="A16" s="811"/>
      <c r="B16" s="50" t="s">
        <v>0</v>
      </c>
      <c r="C16" s="51" t="s">
        <v>3</v>
      </c>
      <c r="D16" s="11">
        <f>'2. Tulud-kulud projektiga'!D16-'3. Tulud-kulud projektita'!D16</f>
        <v>0</v>
      </c>
      <c r="E16" s="11">
        <f>'2. Tulud-kulud projektiga'!E16-'3. Tulud-kulud projektita'!E16</f>
        <v>0</v>
      </c>
      <c r="F16" s="11">
        <f>'2. Tulud-kulud projektiga'!F16-'3. Tulud-kulud projektita'!F16</f>
        <v>60</v>
      </c>
      <c r="G16" s="11">
        <f>'2. Tulud-kulud projektiga'!G16-'3. Tulud-kulud projektita'!G16</f>
        <v>180</v>
      </c>
      <c r="H16" s="11">
        <f>'2. Tulud-kulud projektiga'!H16-'3. Tulud-kulud projektita'!H16</f>
        <v>180</v>
      </c>
      <c r="I16" s="11">
        <f>'2. Tulud-kulud projektiga'!I16-'3. Tulud-kulud projektita'!I16</f>
        <v>180</v>
      </c>
      <c r="J16" s="11">
        <f>'2. Tulud-kulud projektiga'!J16-'3. Tulud-kulud projektita'!J16</f>
        <v>180</v>
      </c>
      <c r="K16" s="11">
        <f>'2. Tulud-kulud projektiga'!K16-'3. Tulud-kulud projektita'!K16</f>
        <v>180</v>
      </c>
      <c r="L16" s="11">
        <f>'2. Tulud-kulud projektiga'!L16-'3. Tulud-kulud projektita'!L16</f>
        <v>180</v>
      </c>
      <c r="M16" s="11">
        <f>'2. Tulud-kulud projektiga'!M16-'3. Tulud-kulud projektita'!M16</f>
        <v>180</v>
      </c>
      <c r="N16" s="11">
        <f>'2. Tulud-kulud projektiga'!N16-'3. Tulud-kulud projektita'!N16</f>
        <v>180</v>
      </c>
      <c r="O16" s="11">
        <f>'2. Tulud-kulud projektiga'!O16-'3. Tulud-kulud projektita'!O16</f>
        <v>180</v>
      </c>
      <c r="P16" s="11">
        <f>'2. Tulud-kulud projektiga'!P16-'3. Tulud-kulud projektita'!P16</f>
        <v>180</v>
      </c>
      <c r="Q16" s="11">
        <f>'2. Tulud-kulud projektiga'!Q16-'3. Tulud-kulud projektita'!Q16</f>
        <v>180</v>
      </c>
      <c r="R16" s="11">
        <f>'2. Tulud-kulud projektiga'!R16-'3. Tulud-kulud projektita'!R16</f>
        <v>180</v>
      </c>
      <c r="S16" s="7"/>
      <c r="T16" s="7"/>
    </row>
    <row r="17" spans="1:20" x14ac:dyDescent="0.35">
      <c r="A17" s="811"/>
      <c r="B17" s="52" t="s">
        <v>1</v>
      </c>
      <c r="C17" s="53" t="s">
        <v>3</v>
      </c>
      <c r="D17" s="54">
        <f>'2. Tulud-kulud projektiga'!D17-'3. Tulud-kulud projektita'!D17</f>
        <v>0</v>
      </c>
      <c r="E17" s="54">
        <f>'2. Tulud-kulud projektiga'!E17-'3. Tulud-kulud projektita'!E17</f>
        <v>0</v>
      </c>
      <c r="F17" s="54">
        <f>'2. Tulud-kulud projektiga'!F17-'3. Tulud-kulud projektita'!F17</f>
        <v>1584</v>
      </c>
      <c r="G17" s="54">
        <f>'2. Tulud-kulud projektiga'!G17-'3. Tulud-kulud projektita'!G17</f>
        <v>4752</v>
      </c>
      <c r="H17" s="54">
        <f>'2. Tulud-kulud projektiga'!H17-'3. Tulud-kulud projektita'!H17</f>
        <v>4752</v>
      </c>
      <c r="I17" s="54">
        <f>'2. Tulud-kulud projektiga'!I17-'3. Tulud-kulud projektita'!I17</f>
        <v>9504</v>
      </c>
      <c r="J17" s="54">
        <f>'2. Tulud-kulud projektiga'!J17-'3. Tulud-kulud projektita'!J17</f>
        <v>9504</v>
      </c>
      <c r="K17" s="54">
        <f>'2. Tulud-kulud projektiga'!K17-'3. Tulud-kulud projektita'!K17</f>
        <v>9504</v>
      </c>
      <c r="L17" s="54">
        <f>'2. Tulud-kulud projektiga'!L17-'3. Tulud-kulud projektita'!L17</f>
        <v>9504</v>
      </c>
      <c r="M17" s="54">
        <f>'2. Tulud-kulud projektiga'!M17-'3. Tulud-kulud projektita'!M17</f>
        <v>14255.999999999998</v>
      </c>
      <c r="N17" s="54">
        <f>'2. Tulud-kulud projektiga'!N17-'3. Tulud-kulud projektita'!N17</f>
        <v>14255.999999999998</v>
      </c>
      <c r="O17" s="54">
        <f>'2. Tulud-kulud projektiga'!O17-'3. Tulud-kulud projektita'!O17</f>
        <v>14255.999999999998</v>
      </c>
      <c r="P17" s="54">
        <f>'2. Tulud-kulud projektiga'!P17-'3. Tulud-kulud projektita'!P17</f>
        <v>14255.999999999998</v>
      </c>
      <c r="Q17" s="54">
        <f>'2. Tulud-kulud projektiga'!Q17-'3. Tulud-kulud projektita'!Q17</f>
        <v>14255.999999999998</v>
      </c>
      <c r="R17" s="54">
        <f>'2. Tulud-kulud projektiga'!R17-'3. Tulud-kulud projektita'!R17</f>
        <v>14255.999999999998</v>
      </c>
      <c r="S17" s="7"/>
      <c r="T17" s="7"/>
    </row>
    <row r="18" spans="1:20" ht="4.5" customHeight="1" x14ac:dyDescent="0.35">
      <c r="A18" s="47"/>
      <c r="B18" s="26"/>
      <c r="C18" s="12"/>
      <c r="D18" s="12"/>
      <c r="E18" s="12"/>
      <c r="F18" s="12"/>
      <c r="G18" s="12"/>
      <c r="H18" s="12"/>
      <c r="I18" s="12"/>
      <c r="J18" s="12"/>
      <c r="K18" s="12"/>
      <c r="L18" s="12"/>
      <c r="M18" s="12"/>
      <c r="N18" s="12"/>
      <c r="O18" s="12"/>
      <c r="P18" s="12"/>
      <c r="Q18" s="12"/>
      <c r="R18" s="12"/>
      <c r="S18" s="7"/>
      <c r="T18" s="7"/>
    </row>
    <row r="19" spans="1:20" x14ac:dyDescent="0.35">
      <c r="A19" s="811" t="str">
        <f>'2. Tulud-kulud projektiga'!A19:A21</f>
        <v xml:space="preserve">Üüritulud. 3 korrus. Open Office. </v>
      </c>
      <c r="B19" s="50" t="str">
        <f>'2. Tulud-kulud projektiga'!B19</f>
        <v>Ühik 4</v>
      </c>
      <c r="C19" s="51" t="str">
        <f>'2. Tulud-kulud projektiga'!C19</f>
        <v>Kohta</v>
      </c>
      <c r="D19" s="11">
        <f>'2. Tulud-kulud projektiga'!D19-'3. Tulud-kulud projektita'!D19</f>
        <v>0</v>
      </c>
      <c r="E19" s="11">
        <f>'2. Tulud-kulud projektiga'!E19-'3. Tulud-kulud projektita'!E19</f>
        <v>0</v>
      </c>
      <c r="F19" s="11">
        <f>'2. Tulud-kulud projektiga'!F19-'3. Tulud-kulud projektita'!F19</f>
        <v>3</v>
      </c>
      <c r="G19" s="11">
        <f>'2. Tulud-kulud projektiga'!G19-'3. Tulud-kulud projektita'!G19</f>
        <v>3</v>
      </c>
      <c r="H19" s="11">
        <f>'2. Tulud-kulud projektiga'!H19-'3. Tulud-kulud projektita'!H19</f>
        <v>3</v>
      </c>
      <c r="I19" s="11">
        <f>'2. Tulud-kulud projektiga'!I19-'3. Tulud-kulud projektita'!I19</f>
        <v>6</v>
      </c>
      <c r="J19" s="11">
        <f>'2. Tulud-kulud projektiga'!J19-'3. Tulud-kulud projektita'!J19</f>
        <v>6</v>
      </c>
      <c r="K19" s="11">
        <f>'2. Tulud-kulud projektiga'!K19-'3. Tulud-kulud projektita'!K19</f>
        <v>6</v>
      </c>
      <c r="L19" s="11">
        <f>'2. Tulud-kulud projektiga'!L19-'3. Tulud-kulud projektita'!L19</f>
        <v>6</v>
      </c>
      <c r="M19" s="11">
        <f>'2. Tulud-kulud projektiga'!M19-'3. Tulud-kulud projektita'!M19</f>
        <v>9</v>
      </c>
      <c r="N19" s="11">
        <f>'2. Tulud-kulud projektiga'!N19-'3. Tulud-kulud projektita'!N19</f>
        <v>9</v>
      </c>
      <c r="O19" s="11">
        <f>'2. Tulud-kulud projektiga'!O19-'3. Tulud-kulud projektita'!O19</f>
        <v>9</v>
      </c>
      <c r="P19" s="11">
        <f>'2. Tulud-kulud projektiga'!P19-'3. Tulud-kulud projektita'!P19</f>
        <v>9</v>
      </c>
      <c r="Q19" s="11">
        <f>'2. Tulud-kulud projektiga'!Q19-'3. Tulud-kulud projektita'!Q19</f>
        <v>9</v>
      </c>
      <c r="R19" s="11">
        <f>'2. Tulud-kulud projektiga'!R19-'3. Tulud-kulud projektita'!R19</f>
        <v>9</v>
      </c>
      <c r="S19" s="7"/>
      <c r="T19" s="7"/>
    </row>
    <row r="20" spans="1:20" x14ac:dyDescent="0.35">
      <c r="A20" s="811"/>
      <c r="B20" s="50" t="s">
        <v>0</v>
      </c>
      <c r="C20" s="51" t="s">
        <v>3</v>
      </c>
      <c r="D20" s="11">
        <f>'2. Tulud-kulud projektiga'!D20-'3. Tulud-kulud projektita'!D20</f>
        <v>0</v>
      </c>
      <c r="E20" s="11">
        <f>'2. Tulud-kulud projektiga'!E20-'3. Tulud-kulud projektita'!E20</f>
        <v>0</v>
      </c>
      <c r="F20" s="11">
        <f>'2. Tulud-kulud projektiga'!F20-'3. Tulud-kulud projektita'!F20</f>
        <v>1260</v>
      </c>
      <c r="G20" s="11">
        <f>'2. Tulud-kulud projektiga'!G20-'3. Tulud-kulud projektita'!G20</f>
        <v>3780</v>
      </c>
      <c r="H20" s="11">
        <f>'2. Tulud-kulud projektiga'!H20-'3. Tulud-kulud projektita'!H20</f>
        <v>3780</v>
      </c>
      <c r="I20" s="11">
        <f>'2. Tulud-kulud projektiga'!I20-'3. Tulud-kulud projektita'!I20</f>
        <v>3780</v>
      </c>
      <c r="J20" s="11">
        <f>'2. Tulud-kulud projektiga'!J20-'3. Tulud-kulud projektita'!J20</f>
        <v>3780</v>
      </c>
      <c r="K20" s="11">
        <f>'2. Tulud-kulud projektiga'!K20-'3. Tulud-kulud projektita'!K20</f>
        <v>3780</v>
      </c>
      <c r="L20" s="11">
        <f>'2. Tulud-kulud projektiga'!L20-'3. Tulud-kulud projektita'!L20</f>
        <v>3780</v>
      </c>
      <c r="M20" s="11">
        <f>'2. Tulud-kulud projektiga'!M20-'3. Tulud-kulud projektita'!M20</f>
        <v>3780</v>
      </c>
      <c r="N20" s="11">
        <f>'2. Tulud-kulud projektiga'!N20-'3. Tulud-kulud projektita'!N20</f>
        <v>3780</v>
      </c>
      <c r="O20" s="11">
        <f>'2. Tulud-kulud projektiga'!O20-'3. Tulud-kulud projektita'!O20</f>
        <v>3780</v>
      </c>
      <c r="P20" s="11">
        <f>'2. Tulud-kulud projektiga'!P20-'3. Tulud-kulud projektita'!P20</f>
        <v>3780</v>
      </c>
      <c r="Q20" s="11">
        <f>'2. Tulud-kulud projektiga'!Q20-'3. Tulud-kulud projektita'!Q20</f>
        <v>3780</v>
      </c>
      <c r="R20" s="11">
        <f>'2. Tulud-kulud projektiga'!R20-'3. Tulud-kulud projektita'!R20</f>
        <v>3780</v>
      </c>
      <c r="S20" s="7"/>
      <c r="T20" s="7"/>
    </row>
    <row r="21" spans="1:20" x14ac:dyDescent="0.35">
      <c r="A21" s="811"/>
      <c r="B21" s="52" t="s">
        <v>1</v>
      </c>
      <c r="C21" s="53" t="s">
        <v>3</v>
      </c>
      <c r="D21" s="54">
        <f>'2. Tulud-kulud projektiga'!D21-'3. Tulud-kulud projektita'!D21</f>
        <v>0</v>
      </c>
      <c r="E21" s="54">
        <f>'2. Tulud-kulud projektiga'!E21-'3. Tulud-kulud projektita'!E21</f>
        <v>0</v>
      </c>
      <c r="F21" s="54">
        <f>'2. Tulud-kulud projektiga'!F21-'3. Tulud-kulud projektita'!F21</f>
        <v>3780</v>
      </c>
      <c r="G21" s="54">
        <f>'2. Tulud-kulud projektiga'!G21-'3. Tulud-kulud projektita'!G21</f>
        <v>11340</v>
      </c>
      <c r="H21" s="54">
        <f>'2. Tulud-kulud projektiga'!H21-'3. Tulud-kulud projektita'!H21</f>
        <v>11340</v>
      </c>
      <c r="I21" s="54">
        <f>'2. Tulud-kulud projektiga'!I21-'3. Tulud-kulud projektita'!I21</f>
        <v>22680</v>
      </c>
      <c r="J21" s="54">
        <f>'2. Tulud-kulud projektiga'!J21-'3. Tulud-kulud projektita'!J21</f>
        <v>22680</v>
      </c>
      <c r="K21" s="54">
        <f>'2. Tulud-kulud projektiga'!K21-'3. Tulud-kulud projektita'!K21</f>
        <v>22680</v>
      </c>
      <c r="L21" s="54">
        <f>'2. Tulud-kulud projektiga'!L21-'3. Tulud-kulud projektita'!L21</f>
        <v>22680</v>
      </c>
      <c r="M21" s="54">
        <f>'2. Tulud-kulud projektiga'!M21-'3. Tulud-kulud projektita'!M21</f>
        <v>34020</v>
      </c>
      <c r="N21" s="54">
        <f>'2. Tulud-kulud projektiga'!N21-'3. Tulud-kulud projektita'!N21</f>
        <v>34020</v>
      </c>
      <c r="O21" s="54">
        <f>'2. Tulud-kulud projektiga'!O21-'3. Tulud-kulud projektita'!O21</f>
        <v>34020</v>
      </c>
      <c r="P21" s="54">
        <f>'2. Tulud-kulud projektiga'!P21-'3. Tulud-kulud projektita'!P21</f>
        <v>34020</v>
      </c>
      <c r="Q21" s="54">
        <f>'2. Tulud-kulud projektiga'!Q21-'3. Tulud-kulud projektita'!Q21</f>
        <v>34020</v>
      </c>
      <c r="R21" s="54">
        <f>'2. Tulud-kulud projektiga'!R21-'3. Tulud-kulud projektita'!R21</f>
        <v>34020</v>
      </c>
      <c r="S21" s="7"/>
      <c r="T21" s="7"/>
    </row>
    <row r="22" spans="1:20" ht="4.5" customHeight="1" x14ac:dyDescent="0.35">
      <c r="A22" s="47"/>
      <c r="B22" s="26"/>
      <c r="C22" s="12"/>
      <c r="D22" s="12"/>
      <c r="E22" s="12"/>
      <c r="F22" s="12"/>
      <c r="G22" s="12"/>
      <c r="H22" s="12"/>
      <c r="I22" s="12"/>
      <c r="J22" s="12"/>
      <c r="K22" s="12"/>
      <c r="L22" s="12"/>
      <c r="M22" s="12"/>
      <c r="N22" s="12"/>
      <c r="O22" s="12"/>
      <c r="P22" s="12"/>
      <c r="Q22" s="12"/>
      <c r="R22" s="12"/>
      <c r="S22" s="7"/>
      <c r="T22" s="7"/>
    </row>
    <row r="23" spans="1:20" x14ac:dyDescent="0.35">
      <c r="A23" s="811" t="str">
        <f>'2. Tulud-kulud projektiga'!A23:A25</f>
        <v>Üüritulud. 4 korrus. Üüriruumid</v>
      </c>
      <c r="B23" s="50" t="str">
        <f>'2. Tulud-kulud projektiga'!B23</f>
        <v>Ühik 5</v>
      </c>
      <c r="C23" s="51" t="str">
        <f>'2. Tulud-kulud projektiga'!C23</f>
        <v>m2</v>
      </c>
      <c r="D23" s="11">
        <f>'2. Tulud-kulud projektiga'!D23-'3. Tulud-kulud projektita'!D23</f>
        <v>0</v>
      </c>
      <c r="E23" s="11">
        <f>'2. Tulud-kulud projektiga'!E23-'3. Tulud-kulud projektita'!E23</f>
        <v>0</v>
      </c>
      <c r="F23" s="11">
        <f>'2. Tulud-kulud projektiga'!F23-'3. Tulud-kulud projektita'!F23</f>
        <v>265.60000000000002</v>
      </c>
      <c r="G23" s="11">
        <f>'2. Tulud-kulud projektiga'!G23-'3. Tulud-kulud projektita'!G23</f>
        <v>265.60000000000002</v>
      </c>
      <c r="H23" s="11">
        <f>'2. Tulud-kulud projektiga'!H23-'3. Tulud-kulud projektita'!H23</f>
        <v>265.60000000000002</v>
      </c>
      <c r="I23" s="11">
        <f>'2. Tulud-kulud projektiga'!I23-'3. Tulud-kulud projektita'!I23</f>
        <v>265.60000000000002</v>
      </c>
      <c r="J23" s="11">
        <f>'2. Tulud-kulud projektiga'!J23-'3. Tulud-kulud projektita'!J23</f>
        <v>265.60000000000002</v>
      </c>
      <c r="K23" s="11">
        <f>'2. Tulud-kulud projektiga'!K23-'3. Tulud-kulud projektita'!K23</f>
        <v>265.60000000000002</v>
      </c>
      <c r="L23" s="11">
        <f>'2. Tulud-kulud projektiga'!L23-'3. Tulud-kulud projektita'!L23</f>
        <v>265.60000000000002</v>
      </c>
      <c r="M23" s="11">
        <f>'2. Tulud-kulud projektiga'!M23-'3. Tulud-kulud projektita'!M23</f>
        <v>265.60000000000002</v>
      </c>
      <c r="N23" s="11">
        <f>'2. Tulud-kulud projektiga'!N23-'3. Tulud-kulud projektita'!N23</f>
        <v>265.60000000000002</v>
      </c>
      <c r="O23" s="11">
        <f>'2. Tulud-kulud projektiga'!O23-'3. Tulud-kulud projektita'!O23</f>
        <v>265.60000000000002</v>
      </c>
      <c r="P23" s="11">
        <f>'2. Tulud-kulud projektiga'!P23-'3. Tulud-kulud projektita'!P23</f>
        <v>265.60000000000002</v>
      </c>
      <c r="Q23" s="11">
        <f>'2. Tulud-kulud projektiga'!Q23-'3. Tulud-kulud projektita'!Q23</f>
        <v>265.60000000000002</v>
      </c>
      <c r="R23" s="11">
        <f>'2. Tulud-kulud projektiga'!R23-'3. Tulud-kulud projektita'!R23</f>
        <v>265.60000000000002</v>
      </c>
      <c r="S23" s="7"/>
      <c r="T23" s="7"/>
    </row>
    <row r="24" spans="1:20" x14ac:dyDescent="0.35">
      <c r="A24" s="811"/>
      <c r="B24" s="50" t="s">
        <v>0</v>
      </c>
      <c r="C24" s="51" t="s">
        <v>3</v>
      </c>
      <c r="D24" s="11">
        <f>'2. Tulud-kulud projektiga'!D24-'3. Tulud-kulud projektita'!D24</f>
        <v>0</v>
      </c>
      <c r="E24" s="11">
        <f>'2. Tulud-kulud projektiga'!E24-'3. Tulud-kulud projektita'!E24</f>
        <v>0</v>
      </c>
      <c r="F24" s="11">
        <f>'2. Tulud-kulud projektiga'!F24-'3. Tulud-kulud projektita'!F24</f>
        <v>28</v>
      </c>
      <c r="G24" s="11">
        <f>'2. Tulud-kulud projektiga'!G24-'3. Tulud-kulud projektita'!G24</f>
        <v>84</v>
      </c>
      <c r="H24" s="11">
        <f>'2. Tulud-kulud projektiga'!H24-'3. Tulud-kulud projektita'!H24</f>
        <v>84</v>
      </c>
      <c r="I24" s="11">
        <f>'2. Tulud-kulud projektiga'!I24-'3. Tulud-kulud projektita'!I24</f>
        <v>84</v>
      </c>
      <c r="J24" s="11">
        <f>'2. Tulud-kulud projektiga'!J24-'3. Tulud-kulud projektita'!J24</f>
        <v>84</v>
      </c>
      <c r="K24" s="11">
        <f>'2. Tulud-kulud projektiga'!K24-'3. Tulud-kulud projektita'!K24</f>
        <v>84</v>
      </c>
      <c r="L24" s="11">
        <f>'2. Tulud-kulud projektiga'!L24-'3. Tulud-kulud projektita'!L24</f>
        <v>84</v>
      </c>
      <c r="M24" s="11">
        <f>'2. Tulud-kulud projektiga'!M24-'3. Tulud-kulud projektita'!M24</f>
        <v>84</v>
      </c>
      <c r="N24" s="11">
        <f>'2. Tulud-kulud projektiga'!N24-'3. Tulud-kulud projektita'!N24</f>
        <v>84</v>
      </c>
      <c r="O24" s="11">
        <f>'2. Tulud-kulud projektiga'!O24-'3. Tulud-kulud projektita'!O24</f>
        <v>84</v>
      </c>
      <c r="P24" s="11">
        <f>'2. Tulud-kulud projektiga'!P24-'3. Tulud-kulud projektita'!P24</f>
        <v>84</v>
      </c>
      <c r="Q24" s="11">
        <f>'2. Tulud-kulud projektiga'!Q24-'3. Tulud-kulud projektita'!Q24</f>
        <v>84</v>
      </c>
      <c r="R24" s="11">
        <f>'2. Tulud-kulud projektiga'!R24-'3. Tulud-kulud projektita'!R24</f>
        <v>84</v>
      </c>
      <c r="S24" s="7"/>
      <c r="T24" s="7"/>
    </row>
    <row r="25" spans="1:20" x14ac:dyDescent="0.35">
      <c r="A25" s="811"/>
      <c r="B25" s="52" t="s">
        <v>1</v>
      </c>
      <c r="C25" s="53" t="s">
        <v>3</v>
      </c>
      <c r="D25" s="54">
        <f>'2. Tulud-kulud projektiga'!D25-'3. Tulud-kulud projektita'!D25</f>
        <v>0</v>
      </c>
      <c r="E25" s="54">
        <f>'2. Tulud-kulud projektiga'!E25-'3. Tulud-kulud projektita'!E25</f>
        <v>0</v>
      </c>
      <c r="F25" s="54">
        <f>'2. Tulud-kulud projektiga'!F25-'3. Tulud-kulud projektita'!F25</f>
        <v>7436.8000000000011</v>
      </c>
      <c r="G25" s="54">
        <f>'2. Tulud-kulud projektiga'!G25-'3. Tulud-kulud projektita'!G25</f>
        <v>22310.400000000001</v>
      </c>
      <c r="H25" s="54">
        <f>'2. Tulud-kulud projektiga'!H25-'3. Tulud-kulud projektita'!H25</f>
        <v>22310.400000000001</v>
      </c>
      <c r="I25" s="54">
        <f>'2. Tulud-kulud projektiga'!I25-'3. Tulud-kulud projektita'!I25</f>
        <v>22310.400000000001</v>
      </c>
      <c r="J25" s="54">
        <f>'2. Tulud-kulud projektiga'!J25-'3. Tulud-kulud projektita'!J25</f>
        <v>22310.400000000001</v>
      </c>
      <c r="K25" s="54">
        <f>'2. Tulud-kulud projektiga'!K25-'3. Tulud-kulud projektita'!K25</f>
        <v>22310.400000000001</v>
      </c>
      <c r="L25" s="54">
        <f>'2. Tulud-kulud projektiga'!L25-'3. Tulud-kulud projektita'!L25</f>
        <v>22310.400000000001</v>
      </c>
      <c r="M25" s="54">
        <f>'2. Tulud-kulud projektiga'!M25-'3. Tulud-kulud projektita'!M25</f>
        <v>22310.400000000001</v>
      </c>
      <c r="N25" s="54">
        <f>'2. Tulud-kulud projektiga'!N25-'3. Tulud-kulud projektita'!N25</f>
        <v>22310.400000000001</v>
      </c>
      <c r="O25" s="54">
        <f>'2. Tulud-kulud projektiga'!O25-'3. Tulud-kulud projektita'!O25</f>
        <v>22310.400000000001</v>
      </c>
      <c r="P25" s="54">
        <f>'2. Tulud-kulud projektiga'!P25-'3. Tulud-kulud projektita'!P25</f>
        <v>22310.400000000001</v>
      </c>
      <c r="Q25" s="54">
        <f>'2. Tulud-kulud projektiga'!Q25-'3. Tulud-kulud projektita'!Q25</f>
        <v>22310.400000000001</v>
      </c>
      <c r="R25" s="54">
        <f>'2. Tulud-kulud projektiga'!R25-'3. Tulud-kulud projektita'!R25</f>
        <v>22310.400000000001</v>
      </c>
      <c r="S25" s="7"/>
      <c r="T25" s="7"/>
    </row>
    <row r="26" spans="1:20" ht="4.5" customHeight="1" x14ac:dyDescent="0.35">
      <c r="A26" s="47"/>
      <c r="B26" s="26"/>
      <c r="C26" s="12"/>
      <c r="D26" s="12"/>
      <c r="E26" s="12"/>
      <c r="F26" s="12"/>
      <c r="G26" s="12"/>
      <c r="H26" s="12"/>
      <c r="I26" s="12"/>
      <c r="J26" s="12"/>
      <c r="K26" s="12"/>
      <c r="L26" s="12"/>
      <c r="M26" s="12"/>
      <c r="N26" s="12"/>
      <c r="O26" s="12"/>
      <c r="P26" s="12"/>
      <c r="Q26" s="12"/>
      <c r="R26" s="12"/>
      <c r="S26" s="7"/>
      <c r="T26" s="7"/>
    </row>
    <row r="27" spans="1:20" x14ac:dyDescent="0.35">
      <c r="A27" s="811" t="str">
        <f>'2. Tulud-kulud projektiga'!A27:A29</f>
        <v>Üüritulud. 4 korrus. Üürikabinet</v>
      </c>
      <c r="B27" s="50" t="str">
        <f>'2. Tulud-kulud projektiga'!B27</f>
        <v>Ühik 6</v>
      </c>
      <c r="C27" s="51" t="str">
        <f>'2. Tulud-kulud projektiga'!C27</f>
        <v>m2</v>
      </c>
      <c r="D27" s="11">
        <f>'2. Tulud-kulud projektiga'!D27-'3. Tulud-kulud projektita'!D27</f>
        <v>0</v>
      </c>
      <c r="E27" s="11">
        <f>'2. Tulud-kulud projektiga'!E27-'3. Tulud-kulud projektita'!E27</f>
        <v>0</v>
      </c>
      <c r="F27" s="11">
        <f>'2. Tulud-kulud projektiga'!F27-'3. Tulud-kulud projektita'!F27</f>
        <v>15.8</v>
      </c>
      <c r="G27" s="11">
        <f>'2. Tulud-kulud projektiga'!G27-'3. Tulud-kulud projektita'!G27</f>
        <v>15.8</v>
      </c>
      <c r="H27" s="11">
        <f>'2. Tulud-kulud projektiga'!H27-'3. Tulud-kulud projektita'!H27</f>
        <v>15.8</v>
      </c>
      <c r="I27" s="11">
        <f>'2. Tulud-kulud projektiga'!I27-'3. Tulud-kulud projektita'!I27</f>
        <v>15.8</v>
      </c>
      <c r="J27" s="11">
        <f>'2. Tulud-kulud projektiga'!J27-'3. Tulud-kulud projektita'!J27</f>
        <v>15.8</v>
      </c>
      <c r="K27" s="11">
        <f>'2. Tulud-kulud projektiga'!K27-'3. Tulud-kulud projektita'!K27</f>
        <v>15.8</v>
      </c>
      <c r="L27" s="11">
        <f>'2. Tulud-kulud projektiga'!L27-'3. Tulud-kulud projektita'!L27</f>
        <v>15.8</v>
      </c>
      <c r="M27" s="11">
        <f>'2. Tulud-kulud projektiga'!M27-'3. Tulud-kulud projektita'!M27</f>
        <v>15.8</v>
      </c>
      <c r="N27" s="11">
        <f>'2. Tulud-kulud projektiga'!N27-'3. Tulud-kulud projektita'!N27</f>
        <v>15.8</v>
      </c>
      <c r="O27" s="11">
        <f>'2. Tulud-kulud projektiga'!O27-'3. Tulud-kulud projektita'!O27</f>
        <v>15.8</v>
      </c>
      <c r="P27" s="11">
        <f>'2. Tulud-kulud projektiga'!P27-'3. Tulud-kulud projektita'!P27</f>
        <v>15.8</v>
      </c>
      <c r="Q27" s="11">
        <f>'2. Tulud-kulud projektiga'!Q27-'3. Tulud-kulud projektita'!Q27</f>
        <v>15.8</v>
      </c>
      <c r="R27" s="11">
        <f>'2. Tulud-kulud projektiga'!R27-'3. Tulud-kulud projektita'!R27</f>
        <v>15.8</v>
      </c>
      <c r="S27" s="7"/>
      <c r="T27" s="7"/>
    </row>
    <row r="28" spans="1:20" x14ac:dyDescent="0.35">
      <c r="A28" s="811"/>
      <c r="B28" s="50" t="s">
        <v>0</v>
      </c>
      <c r="C28" s="51" t="s">
        <v>3</v>
      </c>
      <c r="D28" s="11">
        <f>'2. Tulud-kulud projektiga'!D28-'3. Tulud-kulud projektita'!D28</f>
        <v>0</v>
      </c>
      <c r="E28" s="11">
        <f>'2. Tulud-kulud projektiga'!E28-'3. Tulud-kulud projektita'!E28</f>
        <v>0</v>
      </c>
      <c r="F28" s="11">
        <f>'2. Tulud-kulud projektiga'!F28-'3. Tulud-kulud projektita'!F28</f>
        <v>28</v>
      </c>
      <c r="G28" s="11">
        <f>'2. Tulud-kulud projektiga'!G28-'3. Tulud-kulud projektita'!G28</f>
        <v>84</v>
      </c>
      <c r="H28" s="11">
        <f>'2. Tulud-kulud projektiga'!H28-'3. Tulud-kulud projektita'!H28</f>
        <v>84</v>
      </c>
      <c r="I28" s="11">
        <f>'2. Tulud-kulud projektiga'!I28-'3. Tulud-kulud projektita'!I28</f>
        <v>84</v>
      </c>
      <c r="J28" s="11">
        <f>'2. Tulud-kulud projektiga'!J28-'3. Tulud-kulud projektita'!J28</f>
        <v>84</v>
      </c>
      <c r="K28" s="11">
        <f>'2. Tulud-kulud projektiga'!K28-'3. Tulud-kulud projektita'!K28</f>
        <v>84</v>
      </c>
      <c r="L28" s="11">
        <f>'2. Tulud-kulud projektiga'!L28-'3. Tulud-kulud projektita'!L28</f>
        <v>84</v>
      </c>
      <c r="M28" s="11">
        <f>'2. Tulud-kulud projektiga'!M28-'3. Tulud-kulud projektita'!M28</f>
        <v>84</v>
      </c>
      <c r="N28" s="11">
        <f>'2. Tulud-kulud projektiga'!N28-'3. Tulud-kulud projektita'!N28</f>
        <v>84</v>
      </c>
      <c r="O28" s="11">
        <f>'2. Tulud-kulud projektiga'!O28-'3. Tulud-kulud projektita'!O28</f>
        <v>84</v>
      </c>
      <c r="P28" s="11">
        <f>'2. Tulud-kulud projektiga'!P28-'3. Tulud-kulud projektita'!P28</f>
        <v>84</v>
      </c>
      <c r="Q28" s="11">
        <f>'2. Tulud-kulud projektiga'!Q28-'3. Tulud-kulud projektita'!Q28</f>
        <v>84</v>
      </c>
      <c r="R28" s="11">
        <f>'2. Tulud-kulud projektiga'!R28-'3. Tulud-kulud projektita'!R28</f>
        <v>84</v>
      </c>
      <c r="S28" s="7"/>
      <c r="T28" s="7"/>
    </row>
    <row r="29" spans="1:20" x14ac:dyDescent="0.35">
      <c r="A29" s="811"/>
      <c r="B29" s="52" t="s">
        <v>1</v>
      </c>
      <c r="C29" s="53" t="s">
        <v>3</v>
      </c>
      <c r="D29" s="54">
        <f>'2. Tulud-kulud projektiga'!D29-'3. Tulud-kulud projektita'!D29</f>
        <v>0</v>
      </c>
      <c r="E29" s="54">
        <f>'2. Tulud-kulud projektiga'!E29-'3. Tulud-kulud projektita'!E29</f>
        <v>0</v>
      </c>
      <c r="F29" s="54">
        <f>'2. Tulud-kulud projektiga'!F29-'3. Tulud-kulud projektita'!F29</f>
        <v>442.40000000000003</v>
      </c>
      <c r="G29" s="54">
        <f>'2. Tulud-kulud projektiga'!G29-'3. Tulud-kulud projektita'!G29</f>
        <v>1327.2</v>
      </c>
      <c r="H29" s="54">
        <f>'2. Tulud-kulud projektiga'!H29-'3. Tulud-kulud projektita'!H29</f>
        <v>1327.2</v>
      </c>
      <c r="I29" s="54">
        <f>'2. Tulud-kulud projektiga'!I29-'3. Tulud-kulud projektita'!I29</f>
        <v>1327.2</v>
      </c>
      <c r="J29" s="54">
        <f>'2. Tulud-kulud projektiga'!J29-'3. Tulud-kulud projektita'!J29</f>
        <v>1327.2</v>
      </c>
      <c r="K29" s="54">
        <f>'2. Tulud-kulud projektiga'!K29-'3. Tulud-kulud projektita'!K29</f>
        <v>1327.2</v>
      </c>
      <c r="L29" s="54">
        <f>'2. Tulud-kulud projektiga'!L29-'3. Tulud-kulud projektita'!L29</f>
        <v>1327.2</v>
      </c>
      <c r="M29" s="54">
        <f>'2. Tulud-kulud projektiga'!M29-'3. Tulud-kulud projektita'!M29</f>
        <v>1327.2</v>
      </c>
      <c r="N29" s="54">
        <f>'2. Tulud-kulud projektiga'!N29-'3. Tulud-kulud projektita'!N29</f>
        <v>1327.2</v>
      </c>
      <c r="O29" s="54">
        <f>'2. Tulud-kulud projektiga'!O29-'3. Tulud-kulud projektita'!O29</f>
        <v>1327.2</v>
      </c>
      <c r="P29" s="54">
        <f>'2. Tulud-kulud projektiga'!P29-'3. Tulud-kulud projektita'!P29</f>
        <v>1327.2</v>
      </c>
      <c r="Q29" s="54">
        <f>'2. Tulud-kulud projektiga'!Q29-'3. Tulud-kulud projektita'!Q29</f>
        <v>1327.2</v>
      </c>
      <c r="R29" s="54">
        <f>'2. Tulud-kulud projektiga'!R29-'3. Tulud-kulud projektita'!R29</f>
        <v>1327.2</v>
      </c>
      <c r="S29" s="7"/>
      <c r="T29" s="7"/>
    </row>
    <row r="30" spans="1:20" ht="4.5" customHeight="1" x14ac:dyDescent="0.35">
      <c r="A30" s="47"/>
      <c r="B30" s="26"/>
      <c r="C30" s="12"/>
      <c r="D30" s="12"/>
      <c r="E30" s="12"/>
      <c r="F30" s="12"/>
      <c r="G30" s="12"/>
      <c r="H30" s="12"/>
      <c r="I30" s="12"/>
      <c r="J30" s="12"/>
      <c r="K30" s="12"/>
      <c r="L30" s="12"/>
      <c r="M30" s="12"/>
      <c r="N30" s="12"/>
      <c r="O30" s="12"/>
      <c r="P30" s="12"/>
      <c r="Q30" s="12"/>
      <c r="R30" s="12"/>
      <c r="S30" s="7"/>
      <c r="T30" s="7"/>
    </row>
    <row r="31" spans="1:20" x14ac:dyDescent="0.35">
      <c r="A31" s="811" t="str">
        <f>'2. Tulud-kulud projektiga'!A31:A33</f>
        <v>Üüritulud. 5 korrus. Üürituba</v>
      </c>
      <c r="B31" s="50" t="str">
        <f>'2. Tulud-kulud projektiga'!B31</f>
        <v>Ühik 7</v>
      </c>
      <c r="C31" s="51" t="str">
        <f>'2. Tulud-kulud projektiga'!C31</f>
        <v>m2</v>
      </c>
      <c r="D31" s="11">
        <f>'2. Tulud-kulud projektiga'!D31-'3. Tulud-kulud projektita'!D31</f>
        <v>0</v>
      </c>
      <c r="E31" s="11">
        <f>'2. Tulud-kulud projektiga'!E31-'3. Tulud-kulud projektita'!E31</f>
        <v>0</v>
      </c>
      <c r="F31" s="11">
        <f>'2. Tulud-kulud projektiga'!F31-'3. Tulud-kulud projektita'!F31</f>
        <v>27.975000000000001</v>
      </c>
      <c r="G31" s="11">
        <f>'2. Tulud-kulud projektiga'!G31-'3. Tulud-kulud projektita'!G31</f>
        <v>27.975000000000001</v>
      </c>
      <c r="H31" s="11">
        <f>'2. Tulud-kulud projektiga'!H31-'3. Tulud-kulud projektita'!H31</f>
        <v>27.975000000000001</v>
      </c>
      <c r="I31" s="11">
        <f>'2. Tulud-kulud projektiga'!I31-'3. Tulud-kulud projektita'!I31</f>
        <v>55.95</v>
      </c>
      <c r="J31" s="11">
        <f>'2. Tulud-kulud projektiga'!J31-'3. Tulud-kulud projektita'!J31</f>
        <v>55.95</v>
      </c>
      <c r="K31" s="11">
        <f>'2. Tulud-kulud projektiga'!K31-'3. Tulud-kulud projektita'!K31</f>
        <v>55.95</v>
      </c>
      <c r="L31" s="11">
        <f>'2. Tulud-kulud projektiga'!L31-'3. Tulud-kulud projektita'!L31</f>
        <v>55.95</v>
      </c>
      <c r="M31" s="11">
        <f>'2. Tulud-kulud projektiga'!M31-'3. Tulud-kulud projektita'!M31</f>
        <v>83.925000000000011</v>
      </c>
      <c r="N31" s="11">
        <f>'2. Tulud-kulud projektiga'!N31-'3. Tulud-kulud projektita'!N31</f>
        <v>83.925000000000011</v>
      </c>
      <c r="O31" s="11">
        <f>'2. Tulud-kulud projektiga'!O31-'3. Tulud-kulud projektita'!O31</f>
        <v>83.925000000000011</v>
      </c>
      <c r="P31" s="11">
        <f>'2. Tulud-kulud projektiga'!P31-'3. Tulud-kulud projektita'!P31</f>
        <v>83.925000000000011</v>
      </c>
      <c r="Q31" s="11">
        <f>'2. Tulud-kulud projektiga'!Q31-'3. Tulud-kulud projektita'!Q31</f>
        <v>83.925000000000011</v>
      </c>
      <c r="R31" s="11">
        <f>'2. Tulud-kulud projektiga'!R31-'3. Tulud-kulud projektita'!R31</f>
        <v>83.925000000000011</v>
      </c>
      <c r="S31" s="7"/>
      <c r="T31" s="7"/>
    </row>
    <row r="32" spans="1:20" x14ac:dyDescent="0.35">
      <c r="A32" s="811"/>
      <c r="B32" s="50" t="s">
        <v>0</v>
      </c>
      <c r="C32" s="51" t="s">
        <v>3</v>
      </c>
      <c r="D32" s="11">
        <f>'2. Tulud-kulud projektiga'!D32-'3. Tulud-kulud projektita'!D32</f>
        <v>0</v>
      </c>
      <c r="E32" s="11">
        <f>'2. Tulud-kulud projektiga'!E32-'3. Tulud-kulud projektita'!E32</f>
        <v>0</v>
      </c>
      <c r="F32" s="11">
        <f>'2. Tulud-kulud projektiga'!F32-'3. Tulud-kulud projektita'!F32</f>
        <v>220</v>
      </c>
      <c r="G32" s="11">
        <f>'2. Tulud-kulud projektiga'!G32-'3. Tulud-kulud projektita'!G32</f>
        <v>660</v>
      </c>
      <c r="H32" s="11">
        <f>'2. Tulud-kulud projektiga'!H32-'3. Tulud-kulud projektita'!H32</f>
        <v>660</v>
      </c>
      <c r="I32" s="11">
        <f>'2. Tulud-kulud projektiga'!I32-'3. Tulud-kulud projektita'!I32</f>
        <v>660</v>
      </c>
      <c r="J32" s="11">
        <f>'2. Tulud-kulud projektiga'!J32-'3. Tulud-kulud projektita'!J32</f>
        <v>660</v>
      </c>
      <c r="K32" s="11">
        <f>'2. Tulud-kulud projektiga'!K32-'3. Tulud-kulud projektita'!K32</f>
        <v>660</v>
      </c>
      <c r="L32" s="11">
        <f>'2. Tulud-kulud projektiga'!L32-'3. Tulud-kulud projektita'!L32</f>
        <v>660</v>
      </c>
      <c r="M32" s="11">
        <f>'2. Tulud-kulud projektiga'!M32-'3. Tulud-kulud projektita'!M32</f>
        <v>660</v>
      </c>
      <c r="N32" s="11">
        <f>'2. Tulud-kulud projektiga'!N32-'3. Tulud-kulud projektita'!N32</f>
        <v>660</v>
      </c>
      <c r="O32" s="11">
        <f>'2. Tulud-kulud projektiga'!O32-'3. Tulud-kulud projektita'!O32</f>
        <v>660</v>
      </c>
      <c r="P32" s="11">
        <f>'2. Tulud-kulud projektiga'!P32-'3. Tulud-kulud projektita'!P32</f>
        <v>660</v>
      </c>
      <c r="Q32" s="11">
        <f>'2. Tulud-kulud projektiga'!Q32-'3. Tulud-kulud projektita'!Q32</f>
        <v>660</v>
      </c>
      <c r="R32" s="11">
        <f>'2. Tulud-kulud projektiga'!R32-'3. Tulud-kulud projektita'!R32</f>
        <v>660</v>
      </c>
      <c r="S32" s="7"/>
      <c r="T32" s="7"/>
    </row>
    <row r="33" spans="1:20" x14ac:dyDescent="0.35">
      <c r="A33" s="811"/>
      <c r="B33" s="52" t="s">
        <v>1</v>
      </c>
      <c r="C33" s="53" t="s">
        <v>3</v>
      </c>
      <c r="D33" s="54">
        <f>'2. Tulud-kulud projektiga'!D33-'3. Tulud-kulud projektita'!D33</f>
        <v>0</v>
      </c>
      <c r="E33" s="54">
        <f>'2. Tulud-kulud projektiga'!E33-'3. Tulud-kulud projektita'!E33</f>
        <v>0</v>
      </c>
      <c r="F33" s="54">
        <f>'2. Tulud-kulud projektiga'!F33-'3. Tulud-kulud projektita'!F33</f>
        <v>6154.5</v>
      </c>
      <c r="G33" s="54">
        <f>'2. Tulud-kulud projektiga'!G33-'3. Tulud-kulud projektita'!G33</f>
        <v>18463.5</v>
      </c>
      <c r="H33" s="54">
        <f>'2. Tulud-kulud projektiga'!H33-'3. Tulud-kulud projektita'!H33</f>
        <v>18463.5</v>
      </c>
      <c r="I33" s="54">
        <f>'2. Tulud-kulud projektiga'!I33-'3. Tulud-kulud projektita'!I33</f>
        <v>36927</v>
      </c>
      <c r="J33" s="54">
        <f>'2. Tulud-kulud projektiga'!J33-'3. Tulud-kulud projektita'!J33</f>
        <v>36927</v>
      </c>
      <c r="K33" s="54">
        <f>'2. Tulud-kulud projektiga'!K33-'3. Tulud-kulud projektita'!K33</f>
        <v>36927</v>
      </c>
      <c r="L33" s="54">
        <f>'2. Tulud-kulud projektiga'!L33-'3. Tulud-kulud projektita'!L33</f>
        <v>36927</v>
      </c>
      <c r="M33" s="54">
        <f>'2. Tulud-kulud projektiga'!M33-'3. Tulud-kulud projektita'!M33</f>
        <v>55390.500000000007</v>
      </c>
      <c r="N33" s="54">
        <f>'2. Tulud-kulud projektiga'!N33-'3. Tulud-kulud projektita'!N33</f>
        <v>55390.500000000007</v>
      </c>
      <c r="O33" s="54">
        <f>'2. Tulud-kulud projektiga'!O33-'3. Tulud-kulud projektita'!O33</f>
        <v>55390.500000000007</v>
      </c>
      <c r="P33" s="54">
        <f>'2. Tulud-kulud projektiga'!P33-'3. Tulud-kulud projektita'!P33</f>
        <v>55390.500000000007</v>
      </c>
      <c r="Q33" s="54">
        <f>'2. Tulud-kulud projektiga'!Q33-'3. Tulud-kulud projektita'!Q33</f>
        <v>55390.500000000007</v>
      </c>
      <c r="R33" s="54">
        <f>'2. Tulud-kulud projektiga'!R33-'3. Tulud-kulud projektita'!R33</f>
        <v>55390.500000000007</v>
      </c>
      <c r="S33" s="7"/>
      <c r="T33" s="7"/>
    </row>
    <row r="34" spans="1:20" ht="4.5" customHeight="1" x14ac:dyDescent="0.35">
      <c r="A34" s="47"/>
      <c r="B34" s="26"/>
      <c r="C34" s="12"/>
      <c r="D34" s="12"/>
      <c r="E34" s="12"/>
      <c r="F34" s="12"/>
      <c r="G34" s="12"/>
      <c r="H34" s="12"/>
      <c r="I34" s="12"/>
      <c r="J34" s="12"/>
      <c r="K34" s="12"/>
      <c r="L34" s="12"/>
      <c r="M34" s="12"/>
      <c r="N34" s="12"/>
      <c r="O34" s="12"/>
      <c r="P34" s="12"/>
      <c r="Q34" s="12"/>
      <c r="R34" s="12"/>
      <c r="S34" s="7"/>
      <c r="T34" s="7"/>
    </row>
    <row r="35" spans="1:20" x14ac:dyDescent="0.35">
      <c r="A35" s="811" t="str">
        <f>'2. Tulud-kulud projektiga'!A35:A37</f>
        <v>Üüritulud. 5 korrus. Üüriruumid</v>
      </c>
      <c r="B35" s="50" t="str">
        <f>'2. Tulud-kulud projektiga'!B35</f>
        <v>Ühik 8</v>
      </c>
      <c r="C35" s="51" t="str">
        <f>'2. Tulud-kulud projektiga'!C35</f>
        <v>m2</v>
      </c>
      <c r="D35" s="11">
        <f>'2. Tulud-kulud projektiga'!D35-'3. Tulud-kulud projektita'!D35</f>
        <v>0</v>
      </c>
      <c r="E35" s="11">
        <f>'2. Tulud-kulud projektiga'!E35-'3. Tulud-kulud projektita'!E35</f>
        <v>0</v>
      </c>
      <c r="F35" s="11">
        <f>'2. Tulud-kulud projektiga'!F35-'3. Tulud-kulud projektita'!F35</f>
        <v>6.6</v>
      </c>
      <c r="G35" s="11">
        <f>'2. Tulud-kulud projektiga'!G35-'3. Tulud-kulud projektita'!G35</f>
        <v>6.6</v>
      </c>
      <c r="H35" s="11">
        <f>'2. Tulud-kulud projektiga'!H35-'3. Tulud-kulud projektita'!H35</f>
        <v>6.6</v>
      </c>
      <c r="I35" s="11">
        <f>'2. Tulud-kulud projektiga'!I35-'3. Tulud-kulud projektita'!I35</f>
        <v>13.2</v>
      </c>
      <c r="J35" s="11">
        <f>'2. Tulud-kulud projektiga'!J35-'3. Tulud-kulud projektita'!J35</f>
        <v>13.2</v>
      </c>
      <c r="K35" s="11">
        <f>'2. Tulud-kulud projektiga'!K35-'3. Tulud-kulud projektita'!K35</f>
        <v>13.2</v>
      </c>
      <c r="L35" s="11">
        <f>'2. Tulud-kulud projektiga'!L35-'3. Tulud-kulud projektita'!L35</f>
        <v>13.2</v>
      </c>
      <c r="M35" s="11">
        <f>'2. Tulud-kulud projektiga'!M35-'3. Tulud-kulud projektita'!M35</f>
        <v>19.799999999999997</v>
      </c>
      <c r="N35" s="11">
        <f>'2. Tulud-kulud projektiga'!N35-'3. Tulud-kulud projektita'!N35</f>
        <v>19.799999999999997</v>
      </c>
      <c r="O35" s="11">
        <f>'2. Tulud-kulud projektiga'!O35-'3. Tulud-kulud projektita'!O35</f>
        <v>19.799999999999997</v>
      </c>
      <c r="P35" s="11">
        <f>'2. Tulud-kulud projektiga'!P35-'3. Tulud-kulud projektita'!P35</f>
        <v>19.799999999999997</v>
      </c>
      <c r="Q35" s="11">
        <f>'2. Tulud-kulud projektiga'!Q35-'3. Tulud-kulud projektita'!Q35</f>
        <v>19.799999999999997</v>
      </c>
      <c r="R35" s="11">
        <f>'2. Tulud-kulud projektiga'!R35-'3. Tulud-kulud projektita'!R35</f>
        <v>19.799999999999997</v>
      </c>
      <c r="S35" s="7"/>
      <c r="T35" s="7"/>
    </row>
    <row r="36" spans="1:20" x14ac:dyDescent="0.35">
      <c r="A36" s="811"/>
      <c r="B36" s="50" t="s">
        <v>0</v>
      </c>
      <c r="C36" s="51" t="s">
        <v>3</v>
      </c>
      <c r="D36" s="11">
        <f>'2. Tulud-kulud projektiga'!D36-'3. Tulud-kulud projektita'!D36</f>
        <v>0</v>
      </c>
      <c r="E36" s="11">
        <f>'2. Tulud-kulud projektiga'!E36-'3. Tulud-kulud projektita'!E36</f>
        <v>0</v>
      </c>
      <c r="F36" s="11">
        <f>'2. Tulud-kulud projektiga'!F36-'3. Tulud-kulud projektita'!F36</f>
        <v>60</v>
      </c>
      <c r="G36" s="11">
        <f>'2. Tulud-kulud projektiga'!G36-'3. Tulud-kulud projektita'!G36</f>
        <v>180</v>
      </c>
      <c r="H36" s="11">
        <f>'2. Tulud-kulud projektiga'!H36-'3. Tulud-kulud projektita'!H36</f>
        <v>180</v>
      </c>
      <c r="I36" s="11">
        <f>'2. Tulud-kulud projektiga'!I36-'3. Tulud-kulud projektita'!I36</f>
        <v>180</v>
      </c>
      <c r="J36" s="11">
        <f>'2. Tulud-kulud projektiga'!J36-'3. Tulud-kulud projektita'!J36</f>
        <v>180</v>
      </c>
      <c r="K36" s="11">
        <f>'2. Tulud-kulud projektiga'!K36-'3. Tulud-kulud projektita'!K36</f>
        <v>180</v>
      </c>
      <c r="L36" s="11">
        <f>'2. Tulud-kulud projektiga'!L36-'3. Tulud-kulud projektita'!L36</f>
        <v>180</v>
      </c>
      <c r="M36" s="11">
        <f>'2. Tulud-kulud projektiga'!M36-'3. Tulud-kulud projektita'!M36</f>
        <v>180</v>
      </c>
      <c r="N36" s="11">
        <f>'2. Tulud-kulud projektiga'!N36-'3. Tulud-kulud projektita'!N36</f>
        <v>180</v>
      </c>
      <c r="O36" s="11">
        <f>'2. Tulud-kulud projektiga'!O36-'3. Tulud-kulud projektita'!O36</f>
        <v>180</v>
      </c>
      <c r="P36" s="11">
        <f>'2. Tulud-kulud projektiga'!P36-'3. Tulud-kulud projektita'!P36</f>
        <v>180</v>
      </c>
      <c r="Q36" s="11">
        <f>'2. Tulud-kulud projektiga'!Q36-'3. Tulud-kulud projektita'!Q36</f>
        <v>180</v>
      </c>
      <c r="R36" s="11">
        <f>'2. Tulud-kulud projektiga'!R36-'3. Tulud-kulud projektita'!R36</f>
        <v>180</v>
      </c>
      <c r="S36" s="7"/>
      <c r="T36" s="7"/>
    </row>
    <row r="37" spans="1:20" x14ac:dyDescent="0.35">
      <c r="A37" s="811"/>
      <c r="B37" s="52" t="s">
        <v>1</v>
      </c>
      <c r="C37" s="53" t="s">
        <v>3</v>
      </c>
      <c r="D37" s="54">
        <f>'2. Tulud-kulud projektiga'!D37-'3. Tulud-kulud projektita'!D37</f>
        <v>0</v>
      </c>
      <c r="E37" s="54">
        <f>'2. Tulud-kulud projektiga'!E37-'3. Tulud-kulud projektita'!E37</f>
        <v>0</v>
      </c>
      <c r="F37" s="54">
        <f>'2. Tulud-kulud projektiga'!F37-'3. Tulud-kulud projektita'!F37</f>
        <v>396</v>
      </c>
      <c r="G37" s="54">
        <f>'2. Tulud-kulud projektiga'!G37-'3. Tulud-kulud projektita'!G37</f>
        <v>1188</v>
      </c>
      <c r="H37" s="54">
        <f>'2. Tulud-kulud projektiga'!H37-'3. Tulud-kulud projektita'!H37</f>
        <v>1188</v>
      </c>
      <c r="I37" s="54">
        <f>'2. Tulud-kulud projektiga'!I37-'3. Tulud-kulud projektita'!I37</f>
        <v>2376</v>
      </c>
      <c r="J37" s="54">
        <f>'2. Tulud-kulud projektiga'!J37-'3. Tulud-kulud projektita'!J37</f>
        <v>2376</v>
      </c>
      <c r="K37" s="54">
        <f>'2. Tulud-kulud projektiga'!K37-'3. Tulud-kulud projektita'!K37</f>
        <v>2376</v>
      </c>
      <c r="L37" s="54">
        <f>'2. Tulud-kulud projektiga'!L37-'3. Tulud-kulud projektita'!L37</f>
        <v>2376</v>
      </c>
      <c r="M37" s="54">
        <f>'2. Tulud-kulud projektiga'!M37-'3. Tulud-kulud projektita'!M37</f>
        <v>3563.9999999999995</v>
      </c>
      <c r="N37" s="54">
        <f>'2. Tulud-kulud projektiga'!N37-'3. Tulud-kulud projektita'!N37</f>
        <v>3563.9999999999995</v>
      </c>
      <c r="O37" s="54">
        <f>'2. Tulud-kulud projektiga'!O37-'3. Tulud-kulud projektita'!O37</f>
        <v>3563.9999999999995</v>
      </c>
      <c r="P37" s="54">
        <f>'2. Tulud-kulud projektiga'!P37-'3. Tulud-kulud projektita'!P37</f>
        <v>3563.9999999999995</v>
      </c>
      <c r="Q37" s="54">
        <f>'2. Tulud-kulud projektiga'!Q37-'3. Tulud-kulud projektita'!Q37</f>
        <v>3563.9999999999995</v>
      </c>
      <c r="R37" s="54">
        <f>'2. Tulud-kulud projektiga'!R37-'3. Tulud-kulud projektita'!R37</f>
        <v>3563.9999999999995</v>
      </c>
      <c r="S37" s="7"/>
      <c r="T37" s="7"/>
    </row>
    <row r="38" spans="1:20" ht="4.5" customHeight="1" x14ac:dyDescent="0.35">
      <c r="A38" s="47"/>
      <c r="B38" s="26"/>
      <c r="C38" s="12"/>
      <c r="D38" s="12"/>
      <c r="E38" s="12"/>
      <c r="F38" s="12"/>
      <c r="G38" s="12"/>
      <c r="H38" s="12"/>
      <c r="I38" s="12"/>
      <c r="J38" s="12"/>
      <c r="K38" s="12"/>
      <c r="L38" s="12"/>
      <c r="M38" s="12"/>
      <c r="N38" s="12"/>
      <c r="O38" s="12"/>
      <c r="P38" s="12"/>
      <c r="Q38" s="12"/>
      <c r="R38" s="12"/>
      <c r="S38" s="7"/>
      <c r="T38" s="7"/>
    </row>
    <row r="39" spans="1:20" hidden="1" x14ac:dyDescent="0.35">
      <c r="A39" s="811">
        <f>'2. Tulud-kulud projektiga'!A39:A41</f>
        <v>0</v>
      </c>
      <c r="B39" s="50" t="str">
        <f>'2. Tulud-kulud projektiga'!B39</f>
        <v>Ühik 9</v>
      </c>
      <c r="C39" s="51" t="str">
        <f>'2. Tulud-kulud projektiga'!C39</f>
        <v>Kuud</v>
      </c>
      <c r="D39" s="11">
        <f>'2. Tulud-kulud projektiga'!D39-'3. Tulud-kulud projektita'!D39</f>
        <v>0</v>
      </c>
      <c r="E39" s="11">
        <f>'2. Tulud-kulud projektiga'!E39-'3. Tulud-kulud projektita'!E39</f>
        <v>0</v>
      </c>
      <c r="F39" s="11">
        <f>'2. Tulud-kulud projektiga'!F39-'3. Tulud-kulud projektita'!F39</f>
        <v>0</v>
      </c>
      <c r="G39" s="11">
        <f>'2. Tulud-kulud projektiga'!G39-'3. Tulud-kulud projektita'!G39</f>
        <v>0</v>
      </c>
      <c r="H39" s="11">
        <f>'2. Tulud-kulud projektiga'!H39-'3. Tulud-kulud projektita'!H39</f>
        <v>0</v>
      </c>
      <c r="I39" s="11">
        <f>'2. Tulud-kulud projektiga'!I39-'3. Tulud-kulud projektita'!I39</f>
        <v>0</v>
      </c>
      <c r="J39" s="11">
        <f>'2. Tulud-kulud projektiga'!J39-'3. Tulud-kulud projektita'!J39</f>
        <v>0</v>
      </c>
      <c r="K39" s="11">
        <f>'2. Tulud-kulud projektiga'!K39-'3. Tulud-kulud projektita'!K39</f>
        <v>0</v>
      </c>
      <c r="L39" s="11">
        <f>'2. Tulud-kulud projektiga'!L39-'3. Tulud-kulud projektita'!L39</f>
        <v>0</v>
      </c>
      <c r="M39" s="11">
        <f>'2. Tulud-kulud projektiga'!M39-'3. Tulud-kulud projektita'!M39</f>
        <v>0</v>
      </c>
      <c r="N39" s="11">
        <f>'2. Tulud-kulud projektiga'!N39-'3. Tulud-kulud projektita'!N39</f>
        <v>0</v>
      </c>
      <c r="O39" s="11">
        <f>'2. Tulud-kulud projektiga'!O39-'3. Tulud-kulud projektita'!O39</f>
        <v>0</v>
      </c>
      <c r="P39" s="11">
        <f>'2. Tulud-kulud projektiga'!P39-'3. Tulud-kulud projektita'!P39</f>
        <v>0</v>
      </c>
      <c r="Q39" s="11">
        <f>'2. Tulud-kulud projektiga'!Q39-'3. Tulud-kulud projektita'!Q39</f>
        <v>0</v>
      </c>
      <c r="R39" s="11">
        <f>'2. Tulud-kulud projektiga'!R39-'3. Tulud-kulud projektita'!R39</f>
        <v>0</v>
      </c>
      <c r="S39" s="7"/>
      <c r="T39" s="7"/>
    </row>
    <row r="40" spans="1:20" hidden="1" x14ac:dyDescent="0.35">
      <c r="A40" s="811"/>
      <c r="B40" s="50" t="s">
        <v>0</v>
      </c>
      <c r="C40" s="51" t="s">
        <v>3</v>
      </c>
      <c r="D40" s="11">
        <f>'2. Tulud-kulud projektiga'!D40-'3. Tulud-kulud projektita'!D40</f>
        <v>0</v>
      </c>
      <c r="E40" s="11">
        <f>'2. Tulud-kulud projektiga'!E40-'3. Tulud-kulud projektita'!E40</f>
        <v>0</v>
      </c>
      <c r="F40" s="11">
        <f>'2. Tulud-kulud projektiga'!F40-'3. Tulud-kulud projektita'!F40</f>
        <v>0</v>
      </c>
      <c r="G40" s="11">
        <f>'2. Tulud-kulud projektiga'!G40-'3. Tulud-kulud projektita'!G40</f>
        <v>0</v>
      </c>
      <c r="H40" s="11">
        <f>'2. Tulud-kulud projektiga'!H40-'3. Tulud-kulud projektita'!H40</f>
        <v>0</v>
      </c>
      <c r="I40" s="11">
        <f>'2. Tulud-kulud projektiga'!I40-'3. Tulud-kulud projektita'!I40</f>
        <v>0</v>
      </c>
      <c r="J40" s="11">
        <f>'2. Tulud-kulud projektiga'!J40-'3. Tulud-kulud projektita'!J40</f>
        <v>0</v>
      </c>
      <c r="K40" s="11">
        <f>'2. Tulud-kulud projektiga'!K40-'3. Tulud-kulud projektita'!K40</f>
        <v>0</v>
      </c>
      <c r="L40" s="11">
        <f>'2. Tulud-kulud projektiga'!L40-'3. Tulud-kulud projektita'!L40</f>
        <v>0</v>
      </c>
      <c r="M40" s="11">
        <f>'2. Tulud-kulud projektiga'!M40-'3. Tulud-kulud projektita'!M40</f>
        <v>0</v>
      </c>
      <c r="N40" s="11">
        <f>'2. Tulud-kulud projektiga'!N40-'3. Tulud-kulud projektita'!N40</f>
        <v>0</v>
      </c>
      <c r="O40" s="11">
        <f>'2. Tulud-kulud projektiga'!O40-'3. Tulud-kulud projektita'!O40</f>
        <v>0</v>
      </c>
      <c r="P40" s="11">
        <f>'2. Tulud-kulud projektiga'!P40-'3. Tulud-kulud projektita'!P40</f>
        <v>0</v>
      </c>
      <c r="Q40" s="11">
        <f>'2. Tulud-kulud projektiga'!Q40-'3. Tulud-kulud projektita'!Q40</f>
        <v>0</v>
      </c>
      <c r="R40" s="11">
        <f>'2. Tulud-kulud projektiga'!R40-'3. Tulud-kulud projektita'!R40</f>
        <v>0</v>
      </c>
      <c r="S40" s="7"/>
      <c r="T40" s="7"/>
    </row>
    <row r="41" spans="1:20" hidden="1" x14ac:dyDescent="0.35">
      <c r="A41" s="811"/>
      <c r="B41" s="52" t="s">
        <v>1</v>
      </c>
      <c r="C41" s="53" t="s">
        <v>3</v>
      </c>
      <c r="D41" s="54">
        <f>'2. Tulud-kulud projektiga'!D41-'3. Tulud-kulud projektita'!D41</f>
        <v>0</v>
      </c>
      <c r="E41" s="54">
        <f>'2. Tulud-kulud projektiga'!E41-'3. Tulud-kulud projektita'!E41</f>
        <v>0</v>
      </c>
      <c r="F41" s="54">
        <f>'2. Tulud-kulud projektiga'!F41-'3. Tulud-kulud projektita'!F41</f>
        <v>0</v>
      </c>
      <c r="G41" s="54">
        <f>'2. Tulud-kulud projektiga'!G41-'3. Tulud-kulud projektita'!G41</f>
        <v>0</v>
      </c>
      <c r="H41" s="54">
        <f>'2. Tulud-kulud projektiga'!H41-'3. Tulud-kulud projektita'!H41</f>
        <v>0</v>
      </c>
      <c r="I41" s="54">
        <f>'2. Tulud-kulud projektiga'!I41-'3. Tulud-kulud projektita'!I41</f>
        <v>0</v>
      </c>
      <c r="J41" s="54">
        <f>'2. Tulud-kulud projektiga'!J41-'3. Tulud-kulud projektita'!J41</f>
        <v>0</v>
      </c>
      <c r="K41" s="54">
        <f>'2. Tulud-kulud projektiga'!K41-'3. Tulud-kulud projektita'!K41</f>
        <v>0</v>
      </c>
      <c r="L41" s="54">
        <f>'2. Tulud-kulud projektiga'!L41-'3. Tulud-kulud projektita'!L41</f>
        <v>0</v>
      </c>
      <c r="M41" s="54">
        <f>'2. Tulud-kulud projektiga'!M41-'3. Tulud-kulud projektita'!M41</f>
        <v>0</v>
      </c>
      <c r="N41" s="54">
        <f>'2. Tulud-kulud projektiga'!N41-'3. Tulud-kulud projektita'!N41</f>
        <v>0</v>
      </c>
      <c r="O41" s="54">
        <f>'2. Tulud-kulud projektiga'!O41-'3. Tulud-kulud projektita'!O41</f>
        <v>0</v>
      </c>
      <c r="P41" s="54">
        <f>'2. Tulud-kulud projektiga'!P41-'3. Tulud-kulud projektita'!P41</f>
        <v>0</v>
      </c>
      <c r="Q41" s="54">
        <f>'2. Tulud-kulud projektiga'!Q41-'3. Tulud-kulud projektita'!Q41</f>
        <v>0</v>
      </c>
      <c r="R41" s="54">
        <f>'2. Tulud-kulud projektiga'!R41-'3. Tulud-kulud projektita'!R41</f>
        <v>0</v>
      </c>
      <c r="S41" s="7"/>
      <c r="T41" s="7"/>
    </row>
    <row r="42" spans="1:20" ht="4.5" customHeight="1" x14ac:dyDescent="0.35">
      <c r="A42" s="47"/>
      <c r="B42" s="26"/>
      <c r="C42" s="12"/>
      <c r="D42" s="12"/>
      <c r="E42" s="12"/>
      <c r="F42" s="12"/>
      <c r="G42" s="12"/>
      <c r="H42" s="12"/>
      <c r="I42" s="12"/>
      <c r="J42" s="12"/>
      <c r="K42" s="12"/>
      <c r="L42" s="12"/>
      <c r="M42" s="12"/>
      <c r="N42" s="12"/>
      <c r="O42" s="12"/>
      <c r="P42" s="12"/>
      <c r="Q42" s="12"/>
      <c r="R42" s="12"/>
      <c r="S42" s="7"/>
      <c r="T42" s="7"/>
    </row>
    <row r="43" spans="1:20" x14ac:dyDescent="0.35">
      <c r="A43" s="811" t="str">
        <f>'2. Tulud-kulud projektiga'!A43:A45</f>
        <v>Arved üürnikele kommunaalkulude eest</v>
      </c>
      <c r="B43" s="50" t="str">
        <f>'2. Tulud-kulud projektiga'!B43</f>
        <v>Ühik 10</v>
      </c>
      <c r="C43" s="51" t="str">
        <f>'2. Tulud-kulud projektiga'!C43</f>
        <v>Kuud</v>
      </c>
      <c r="D43" s="11">
        <f>'2. Tulud-kulud projektiga'!D43-'3. Tulud-kulud projektita'!D43</f>
        <v>0</v>
      </c>
      <c r="E43" s="11">
        <f>'2. Tulud-kulud projektiga'!E43-'3. Tulud-kulud projektita'!E43</f>
        <v>0</v>
      </c>
      <c r="F43" s="11">
        <f>'2. Tulud-kulud projektiga'!F43-'3. Tulud-kulud projektita'!F43</f>
        <v>12</v>
      </c>
      <c r="G43" s="11">
        <f>'2. Tulud-kulud projektiga'!G43-'3. Tulud-kulud projektita'!G43</f>
        <v>12</v>
      </c>
      <c r="H43" s="11">
        <f>'2. Tulud-kulud projektiga'!H43-'3. Tulud-kulud projektita'!H43</f>
        <v>12</v>
      </c>
      <c r="I43" s="11">
        <f>'2. Tulud-kulud projektiga'!I43-'3. Tulud-kulud projektita'!I43</f>
        <v>12</v>
      </c>
      <c r="J43" s="11">
        <f>'2. Tulud-kulud projektiga'!J43-'3. Tulud-kulud projektita'!J43</f>
        <v>12</v>
      </c>
      <c r="K43" s="11">
        <f>'2. Tulud-kulud projektiga'!K43-'3. Tulud-kulud projektita'!K43</f>
        <v>12</v>
      </c>
      <c r="L43" s="11">
        <f>'2. Tulud-kulud projektiga'!L43-'3. Tulud-kulud projektita'!L43</f>
        <v>12</v>
      </c>
      <c r="M43" s="11">
        <f>'2. Tulud-kulud projektiga'!M43-'3. Tulud-kulud projektita'!M43</f>
        <v>12</v>
      </c>
      <c r="N43" s="11">
        <f>'2. Tulud-kulud projektiga'!N43-'3. Tulud-kulud projektita'!N43</f>
        <v>12</v>
      </c>
      <c r="O43" s="11">
        <f>'2. Tulud-kulud projektiga'!O43-'3. Tulud-kulud projektita'!O43</f>
        <v>12</v>
      </c>
      <c r="P43" s="11">
        <f>'2. Tulud-kulud projektiga'!P43-'3. Tulud-kulud projektita'!P43</f>
        <v>12</v>
      </c>
      <c r="Q43" s="11">
        <f>'2. Tulud-kulud projektiga'!Q43-'3. Tulud-kulud projektita'!Q43</f>
        <v>12</v>
      </c>
      <c r="R43" s="11">
        <f>'2. Tulud-kulud projektiga'!R43-'3. Tulud-kulud projektita'!R43</f>
        <v>12</v>
      </c>
      <c r="S43" s="7"/>
      <c r="T43" s="7"/>
    </row>
    <row r="44" spans="1:20" x14ac:dyDescent="0.35">
      <c r="A44" s="811"/>
      <c r="B44" s="50" t="s">
        <v>0</v>
      </c>
      <c r="C44" s="51" t="s">
        <v>3</v>
      </c>
      <c r="D44" s="11">
        <f>'2. Tulud-kulud projektiga'!D44-'3. Tulud-kulud projektita'!D44</f>
        <v>0</v>
      </c>
      <c r="E44" s="11">
        <f>'2. Tulud-kulud projektiga'!E44-'3. Tulud-kulud projektita'!E44</f>
        <v>0</v>
      </c>
      <c r="F44" s="11">
        <f>'2. Tulud-kulud projektiga'!F44-'3. Tulud-kulud projektita'!F44</f>
        <v>549.31285115547257</v>
      </c>
      <c r="G44" s="11">
        <f>'2. Tulud-kulud projektiga'!G44-'3. Tulud-kulud projektita'!G44</f>
        <v>1647.9385534664177</v>
      </c>
      <c r="H44" s="11">
        <f>'2. Tulud-kulud projektiga'!H44-'3. Tulud-kulud projektita'!H44</f>
        <v>1647.9385534664177</v>
      </c>
      <c r="I44" s="11">
        <f>'2. Tulud-kulud projektiga'!I44-'3. Tulud-kulud projektita'!I44</f>
        <v>1813.4770219132067</v>
      </c>
      <c r="J44" s="11">
        <f>'2. Tulud-kulud projektiga'!J44-'3. Tulud-kulud projektita'!J44</f>
        <v>1813.4770219132067</v>
      </c>
      <c r="K44" s="11">
        <f>'2. Tulud-kulud projektiga'!K44-'3. Tulud-kulud projektita'!K44</f>
        <v>1813.4770219132067</v>
      </c>
      <c r="L44" s="11">
        <f>'2. Tulud-kulud projektiga'!L44-'3. Tulud-kulud projektita'!L44</f>
        <v>1813.4770219132067</v>
      </c>
      <c r="M44" s="11">
        <f>'2. Tulud-kulud projektiga'!M44-'3. Tulud-kulud projektita'!M44</f>
        <v>1981.2899499846499</v>
      </c>
      <c r="N44" s="11">
        <f>'2. Tulud-kulud projektiga'!N44-'3. Tulud-kulud projektita'!N44</f>
        <v>1981.2899499846499</v>
      </c>
      <c r="O44" s="11">
        <f>'2. Tulud-kulud projektiga'!O44-'3. Tulud-kulud projektita'!O44</f>
        <v>1981.2899499846499</v>
      </c>
      <c r="P44" s="11">
        <f>'2. Tulud-kulud projektiga'!P44-'3. Tulud-kulud projektita'!P44</f>
        <v>1981.2899499846499</v>
      </c>
      <c r="Q44" s="11">
        <f>'2. Tulud-kulud projektiga'!Q44-'3. Tulud-kulud projektita'!Q44</f>
        <v>1981.2899499846499</v>
      </c>
      <c r="R44" s="11">
        <f>'2. Tulud-kulud projektiga'!R44-'3. Tulud-kulud projektita'!R44</f>
        <v>1981.2899499846499</v>
      </c>
      <c r="S44" s="7"/>
      <c r="T44" s="7"/>
    </row>
    <row r="45" spans="1:20" x14ac:dyDescent="0.35">
      <c r="A45" s="811"/>
      <c r="B45" s="52" t="s">
        <v>1</v>
      </c>
      <c r="C45" s="53" t="s">
        <v>3</v>
      </c>
      <c r="D45" s="54">
        <f>'2. Tulud-kulud projektiga'!D45-'3. Tulud-kulud projektita'!D45</f>
        <v>0</v>
      </c>
      <c r="E45" s="54">
        <f>'2. Tulud-kulud projektiga'!E45-'3. Tulud-kulud projektita'!E45</f>
        <v>0</v>
      </c>
      <c r="F45" s="54">
        <f>'2. Tulud-kulud projektiga'!F45-'3. Tulud-kulud projektita'!F45</f>
        <v>6591.7542138656709</v>
      </c>
      <c r="G45" s="54">
        <f>'2. Tulud-kulud projektiga'!G45-'3. Tulud-kulud projektita'!G45</f>
        <v>19775.262641597012</v>
      </c>
      <c r="H45" s="54">
        <f>'2. Tulud-kulud projektiga'!H45-'3. Tulud-kulud projektita'!H45</f>
        <v>19775.262641597012</v>
      </c>
      <c r="I45" s="54">
        <f>'2. Tulud-kulud projektiga'!I45-'3. Tulud-kulud projektita'!I45</f>
        <v>21761.72426295848</v>
      </c>
      <c r="J45" s="54">
        <f>'2. Tulud-kulud projektiga'!J45-'3. Tulud-kulud projektita'!J45</f>
        <v>21761.72426295848</v>
      </c>
      <c r="K45" s="54">
        <f>'2. Tulud-kulud projektiga'!K45-'3. Tulud-kulud projektita'!K45</f>
        <v>21761.72426295848</v>
      </c>
      <c r="L45" s="54">
        <f>'2. Tulud-kulud projektiga'!L45-'3. Tulud-kulud projektita'!L45</f>
        <v>21761.72426295848</v>
      </c>
      <c r="M45" s="54">
        <f>'2. Tulud-kulud projektiga'!M45-'3. Tulud-kulud projektita'!M45</f>
        <v>23775.479399815798</v>
      </c>
      <c r="N45" s="54">
        <f>'2. Tulud-kulud projektiga'!N45-'3. Tulud-kulud projektita'!N45</f>
        <v>23775.479399815798</v>
      </c>
      <c r="O45" s="54">
        <f>'2. Tulud-kulud projektiga'!O45-'3. Tulud-kulud projektita'!O45</f>
        <v>23775.479399815798</v>
      </c>
      <c r="P45" s="54">
        <f>'2. Tulud-kulud projektiga'!P45-'3. Tulud-kulud projektita'!P45</f>
        <v>23775.479399815798</v>
      </c>
      <c r="Q45" s="54">
        <f>'2. Tulud-kulud projektiga'!Q45-'3. Tulud-kulud projektita'!Q45</f>
        <v>23775.479399815798</v>
      </c>
      <c r="R45" s="54">
        <f>'2. Tulud-kulud projektiga'!R45-'3. Tulud-kulud projektita'!R45</f>
        <v>23775.479399815798</v>
      </c>
      <c r="S45" s="7"/>
      <c r="T45" s="7"/>
    </row>
    <row r="46" spans="1:20" ht="12" hidden="1" customHeight="1" x14ac:dyDescent="0.35">
      <c r="A46" s="15"/>
      <c r="B46" s="26"/>
      <c r="C46" s="12"/>
      <c r="D46" s="12"/>
      <c r="E46" s="12"/>
      <c r="F46" s="12"/>
      <c r="G46" s="12"/>
      <c r="H46" s="12"/>
      <c r="I46" s="12"/>
      <c r="J46" s="12"/>
      <c r="K46" s="12"/>
      <c r="L46" s="12"/>
      <c r="M46" s="12"/>
      <c r="N46" s="12"/>
      <c r="O46" s="12"/>
      <c r="P46" s="12"/>
      <c r="Q46" s="12"/>
      <c r="R46" s="12"/>
      <c r="S46" s="7"/>
      <c r="T46" s="7"/>
    </row>
    <row r="47" spans="1:20" ht="18.75" hidden="1" customHeight="1" x14ac:dyDescent="0.35">
      <c r="A47" s="807" t="str">
        <f>'2. Tulud-kulud projektiga'!A47:B47</f>
        <v>Muu tulu (nimetage)</v>
      </c>
      <c r="B47" s="808"/>
      <c r="C47" s="53" t="s">
        <v>3</v>
      </c>
      <c r="D47" s="11">
        <f>'2. Tulud-kulud projektiga'!D47-'3. Tulud-kulud projektita'!D47</f>
        <v>0</v>
      </c>
      <c r="E47" s="11">
        <f>'2. Tulud-kulud projektiga'!E47-'3. Tulud-kulud projektita'!E47</f>
        <v>0</v>
      </c>
      <c r="F47" s="11">
        <f>'2. Tulud-kulud projektiga'!F47-'3. Tulud-kulud projektita'!F47</f>
        <v>0</v>
      </c>
      <c r="G47" s="11">
        <f>'2. Tulud-kulud projektiga'!G47-'3. Tulud-kulud projektita'!G47</f>
        <v>0</v>
      </c>
      <c r="H47" s="11">
        <f>'2. Tulud-kulud projektiga'!H47-'3. Tulud-kulud projektita'!H47</f>
        <v>0</v>
      </c>
      <c r="I47" s="11">
        <f>'2. Tulud-kulud projektiga'!I47-'3. Tulud-kulud projektita'!I47</f>
        <v>0</v>
      </c>
      <c r="J47" s="11">
        <f>'2. Tulud-kulud projektiga'!J47-'3. Tulud-kulud projektita'!J47</f>
        <v>0</v>
      </c>
      <c r="K47" s="11">
        <f>'2. Tulud-kulud projektiga'!K47-'3. Tulud-kulud projektita'!K47</f>
        <v>0</v>
      </c>
      <c r="L47" s="11">
        <f>'2. Tulud-kulud projektiga'!L47-'3. Tulud-kulud projektita'!L47</f>
        <v>0</v>
      </c>
      <c r="M47" s="11">
        <f>'2. Tulud-kulud projektiga'!M47-'3. Tulud-kulud projektita'!M47</f>
        <v>0</v>
      </c>
      <c r="N47" s="11">
        <f>'2. Tulud-kulud projektiga'!N47-'3. Tulud-kulud projektita'!N47</f>
        <v>0</v>
      </c>
      <c r="O47" s="11">
        <f>'2. Tulud-kulud projektiga'!O47-'3. Tulud-kulud projektita'!O47</f>
        <v>0</v>
      </c>
      <c r="P47" s="11">
        <f>'2. Tulud-kulud projektiga'!P47-'3. Tulud-kulud projektita'!P47</f>
        <v>0</v>
      </c>
      <c r="Q47" s="11">
        <f>'2. Tulud-kulud projektiga'!Q47-'3. Tulud-kulud projektita'!Q47</f>
        <v>0</v>
      </c>
      <c r="R47" s="11">
        <f>'2. Tulud-kulud projektiga'!R47-'3. Tulud-kulud projektita'!R47</f>
        <v>0</v>
      </c>
      <c r="S47" s="7"/>
      <c r="T47" s="7"/>
    </row>
    <row r="48" spans="1:20" ht="18.75" hidden="1" customHeight="1" x14ac:dyDescent="0.35">
      <c r="A48" s="807" t="str">
        <f>'2. Tulud-kulud projektiga'!A48:B48</f>
        <v>Muu tulu (nimetage)</v>
      </c>
      <c r="B48" s="808"/>
      <c r="C48" s="53" t="s">
        <v>3</v>
      </c>
      <c r="D48" s="11">
        <f>'2. Tulud-kulud projektiga'!D48-'3. Tulud-kulud projektita'!D48</f>
        <v>0</v>
      </c>
      <c r="E48" s="11">
        <f>'2. Tulud-kulud projektiga'!E48-'3. Tulud-kulud projektita'!E48</f>
        <v>0</v>
      </c>
      <c r="F48" s="11">
        <f>'2. Tulud-kulud projektiga'!F48-'3. Tulud-kulud projektita'!F48</f>
        <v>0</v>
      </c>
      <c r="G48" s="11">
        <f>'2. Tulud-kulud projektiga'!G48-'3. Tulud-kulud projektita'!G48</f>
        <v>0</v>
      </c>
      <c r="H48" s="11">
        <f>'2. Tulud-kulud projektiga'!H48-'3. Tulud-kulud projektita'!H48</f>
        <v>0</v>
      </c>
      <c r="I48" s="11">
        <f>'2. Tulud-kulud projektiga'!I48-'3. Tulud-kulud projektita'!I48</f>
        <v>0</v>
      </c>
      <c r="J48" s="11">
        <f>'2. Tulud-kulud projektiga'!J48-'3. Tulud-kulud projektita'!J48</f>
        <v>0</v>
      </c>
      <c r="K48" s="11">
        <f>'2. Tulud-kulud projektiga'!K48-'3. Tulud-kulud projektita'!K48</f>
        <v>0</v>
      </c>
      <c r="L48" s="11">
        <f>'2. Tulud-kulud projektiga'!L48-'3. Tulud-kulud projektita'!L48</f>
        <v>0</v>
      </c>
      <c r="M48" s="11">
        <f>'2. Tulud-kulud projektiga'!M48-'3. Tulud-kulud projektita'!M48</f>
        <v>0</v>
      </c>
      <c r="N48" s="11">
        <f>'2. Tulud-kulud projektiga'!N48-'3. Tulud-kulud projektita'!N48</f>
        <v>0</v>
      </c>
      <c r="O48" s="11">
        <f>'2. Tulud-kulud projektiga'!O48-'3. Tulud-kulud projektita'!O48</f>
        <v>0</v>
      </c>
      <c r="P48" s="11">
        <f>'2. Tulud-kulud projektiga'!P48-'3. Tulud-kulud projektita'!P48</f>
        <v>0</v>
      </c>
      <c r="Q48" s="11">
        <f>'2. Tulud-kulud projektiga'!Q48-'3. Tulud-kulud projektita'!Q48</f>
        <v>0</v>
      </c>
      <c r="R48" s="11">
        <f>'2. Tulud-kulud projektiga'!R48-'3. Tulud-kulud projektita'!R48</f>
        <v>0</v>
      </c>
      <c r="S48" s="7"/>
      <c r="T48" s="7"/>
    </row>
    <row r="49" spans="1:21" ht="18.75" hidden="1" customHeight="1" x14ac:dyDescent="0.35">
      <c r="A49" s="807" t="str">
        <f>'2. Tulud-kulud projektiga'!A49:B49</f>
        <v>Muu tulu (nimetage)</v>
      </c>
      <c r="B49" s="808"/>
      <c r="C49" s="53" t="s">
        <v>3</v>
      </c>
      <c r="D49" s="11">
        <f>'2. Tulud-kulud projektiga'!D49-'3. Tulud-kulud projektita'!D49</f>
        <v>0</v>
      </c>
      <c r="E49" s="11">
        <f>'2. Tulud-kulud projektiga'!E49-'3. Tulud-kulud projektita'!E49</f>
        <v>0</v>
      </c>
      <c r="F49" s="11">
        <f>'2. Tulud-kulud projektiga'!F49-'3. Tulud-kulud projektita'!F49</f>
        <v>0</v>
      </c>
      <c r="G49" s="11">
        <f>'2. Tulud-kulud projektiga'!G49-'3. Tulud-kulud projektita'!G49</f>
        <v>0</v>
      </c>
      <c r="H49" s="11">
        <f>'2. Tulud-kulud projektiga'!H49-'3. Tulud-kulud projektita'!H49</f>
        <v>0</v>
      </c>
      <c r="I49" s="11">
        <f>'2. Tulud-kulud projektiga'!I49-'3. Tulud-kulud projektita'!I49</f>
        <v>0</v>
      </c>
      <c r="J49" s="11">
        <f>'2. Tulud-kulud projektiga'!J49-'3. Tulud-kulud projektita'!J49</f>
        <v>0</v>
      </c>
      <c r="K49" s="11">
        <f>'2. Tulud-kulud projektiga'!K49-'3. Tulud-kulud projektita'!K49</f>
        <v>0</v>
      </c>
      <c r="L49" s="11">
        <f>'2. Tulud-kulud projektiga'!L49-'3. Tulud-kulud projektita'!L49</f>
        <v>0</v>
      </c>
      <c r="M49" s="11">
        <f>'2. Tulud-kulud projektiga'!M49-'3. Tulud-kulud projektita'!M49</f>
        <v>0</v>
      </c>
      <c r="N49" s="11">
        <f>'2. Tulud-kulud projektiga'!N49-'3. Tulud-kulud projektita'!N49</f>
        <v>0</v>
      </c>
      <c r="O49" s="11">
        <f>'2. Tulud-kulud projektiga'!O49-'3. Tulud-kulud projektita'!O49</f>
        <v>0</v>
      </c>
      <c r="P49" s="11">
        <f>'2. Tulud-kulud projektiga'!P49-'3. Tulud-kulud projektita'!P49</f>
        <v>0</v>
      </c>
      <c r="Q49" s="11">
        <f>'2. Tulud-kulud projektiga'!Q49-'3. Tulud-kulud projektita'!Q49</f>
        <v>0</v>
      </c>
      <c r="R49" s="11">
        <f>'2. Tulud-kulud projektiga'!R49-'3. Tulud-kulud projektita'!R49</f>
        <v>0</v>
      </c>
      <c r="S49" s="7"/>
      <c r="T49" s="7"/>
    </row>
    <row r="50" spans="1:21" ht="18.75" hidden="1" customHeight="1" x14ac:dyDescent="0.35">
      <c r="A50" s="807" t="str">
        <f>'2. Tulud-kulud projektiga'!A50:B50</f>
        <v>Muu tulu (nimetage)</v>
      </c>
      <c r="B50" s="808"/>
      <c r="C50" s="53" t="s">
        <v>3</v>
      </c>
      <c r="D50" s="11">
        <f>'2. Tulud-kulud projektiga'!D50-'3. Tulud-kulud projektita'!D50</f>
        <v>0</v>
      </c>
      <c r="E50" s="11">
        <f>'2. Tulud-kulud projektiga'!E50-'3. Tulud-kulud projektita'!E50</f>
        <v>0</v>
      </c>
      <c r="F50" s="11">
        <f>'2. Tulud-kulud projektiga'!F50-'3. Tulud-kulud projektita'!F50</f>
        <v>0</v>
      </c>
      <c r="G50" s="11">
        <f>'2. Tulud-kulud projektiga'!G50-'3. Tulud-kulud projektita'!G50</f>
        <v>0</v>
      </c>
      <c r="H50" s="11">
        <f>'2. Tulud-kulud projektiga'!H50-'3. Tulud-kulud projektita'!H50</f>
        <v>0</v>
      </c>
      <c r="I50" s="11">
        <f>'2. Tulud-kulud projektiga'!I50-'3. Tulud-kulud projektita'!I50</f>
        <v>0</v>
      </c>
      <c r="J50" s="11">
        <f>'2. Tulud-kulud projektiga'!J50-'3. Tulud-kulud projektita'!J50</f>
        <v>0</v>
      </c>
      <c r="K50" s="11">
        <f>'2. Tulud-kulud projektiga'!K50-'3. Tulud-kulud projektita'!K50</f>
        <v>0</v>
      </c>
      <c r="L50" s="11">
        <f>'2. Tulud-kulud projektiga'!L50-'3. Tulud-kulud projektita'!L50</f>
        <v>0</v>
      </c>
      <c r="M50" s="11">
        <f>'2. Tulud-kulud projektiga'!M50-'3. Tulud-kulud projektita'!M50</f>
        <v>0</v>
      </c>
      <c r="N50" s="11">
        <f>'2. Tulud-kulud projektiga'!N50-'3. Tulud-kulud projektita'!N50</f>
        <v>0</v>
      </c>
      <c r="O50" s="11">
        <f>'2. Tulud-kulud projektiga'!O50-'3. Tulud-kulud projektita'!O50</f>
        <v>0</v>
      </c>
      <c r="P50" s="11">
        <f>'2. Tulud-kulud projektiga'!P50-'3. Tulud-kulud projektita'!P50</f>
        <v>0</v>
      </c>
      <c r="Q50" s="11">
        <f>'2. Tulud-kulud projektiga'!Q50-'3. Tulud-kulud projektita'!Q50</f>
        <v>0</v>
      </c>
      <c r="R50" s="11">
        <f>'2. Tulud-kulud projektiga'!R50-'3. Tulud-kulud projektita'!R50</f>
        <v>0</v>
      </c>
      <c r="S50" s="7"/>
      <c r="T50" s="7"/>
    </row>
    <row r="51" spans="1:21" ht="18.75" hidden="1" customHeight="1" x14ac:dyDescent="0.35">
      <c r="A51" s="807" t="str">
        <f>'2. Tulud-kulud projektiga'!A51:B51</f>
        <v>Muu tulu (nimetage)</v>
      </c>
      <c r="B51" s="808"/>
      <c r="C51" s="53" t="s">
        <v>3</v>
      </c>
      <c r="D51" s="11">
        <f>'2. Tulud-kulud projektiga'!D51-'3. Tulud-kulud projektita'!D51</f>
        <v>0</v>
      </c>
      <c r="E51" s="11">
        <f>'2. Tulud-kulud projektiga'!E51-'3. Tulud-kulud projektita'!E51</f>
        <v>0</v>
      </c>
      <c r="F51" s="11">
        <f>'2. Tulud-kulud projektiga'!F51-'3. Tulud-kulud projektita'!F51</f>
        <v>0</v>
      </c>
      <c r="G51" s="11">
        <f>'2. Tulud-kulud projektiga'!G51-'3. Tulud-kulud projektita'!G51</f>
        <v>0</v>
      </c>
      <c r="H51" s="11">
        <f>'2. Tulud-kulud projektiga'!H51-'3. Tulud-kulud projektita'!H51</f>
        <v>0</v>
      </c>
      <c r="I51" s="11">
        <f>'2. Tulud-kulud projektiga'!I51-'3. Tulud-kulud projektita'!I51</f>
        <v>0</v>
      </c>
      <c r="J51" s="11">
        <f>'2. Tulud-kulud projektiga'!J51-'3. Tulud-kulud projektita'!J51</f>
        <v>0</v>
      </c>
      <c r="K51" s="11">
        <f>'2. Tulud-kulud projektiga'!K51-'3. Tulud-kulud projektita'!K51</f>
        <v>0</v>
      </c>
      <c r="L51" s="11">
        <f>'2. Tulud-kulud projektiga'!L51-'3. Tulud-kulud projektita'!L51</f>
        <v>0</v>
      </c>
      <c r="M51" s="11">
        <f>'2. Tulud-kulud projektiga'!M51-'3. Tulud-kulud projektita'!M51</f>
        <v>0</v>
      </c>
      <c r="N51" s="11">
        <f>'2. Tulud-kulud projektiga'!N51-'3. Tulud-kulud projektita'!N51</f>
        <v>0</v>
      </c>
      <c r="O51" s="11">
        <f>'2. Tulud-kulud projektiga'!O51-'3. Tulud-kulud projektita'!O51</f>
        <v>0</v>
      </c>
      <c r="P51" s="11">
        <f>'2. Tulud-kulud projektiga'!P51-'3. Tulud-kulud projektita'!P51</f>
        <v>0</v>
      </c>
      <c r="Q51" s="11">
        <f>'2. Tulud-kulud projektiga'!Q51-'3. Tulud-kulud projektita'!Q51</f>
        <v>0</v>
      </c>
      <c r="R51" s="11">
        <f>'2. Tulud-kulud projektiga'!R51-'3. Tulud-kulud projektita'!R51</f>
        <v>0</v>
      </c>
      <c r="S51" s="7"/>
      <c r="T51" s="7"/>
    </row>
    <row r="52" spans="1:21" ht="4.5" customHeight="1" x14ac:dyDescent="0.35">
      <c r="A52" s="4"/>
      <c r="B52" s="25"/>
      <c r="C52" s="9"/>
      <c r="D52" s="9"/>
      <c r="E52" s="9"/>
      <c r="F52" s="9"/>
      <c r="G52" s="9"/>
      <c r="H52" s="9"/>
      <c r="I52" s="9"/>
      <c r="J52" s="9"/>
      <c r="K52" s="9"/>
      <c r="L52" s="9"/>
      <c r="M52" s="9"/>
      <c r="N52" s="9"/>
      <c r="O52" s="9"/>
      <c r="P52" s="9"/>
      <c r="Q52" s="9"/>
      <c r="R52" s="9"/>
      <c r="S52" s="7"/>
      <c r="T52" s="7"/>
    </row>
    <row r="53" spans="1:21" s="3" customFormat="1" ht="21" customHeight="1" x14ac:dyDescent="0.35">
      <c r="A53" s="809" t="s">
        <v>59</v>
      </c>
      <c r="B53" s="810"/>
      <c r="C53" s="48" t="s">
        <v>3</v>
      </c>
      <c r="D53" s="58">
        <f t="shared" ref="D53" si="4">D9+D13+D17+D21+D25+D29+D33+D37+D41+D45+D47+D48+D49+D50+D51</f>
        <v>0</v>
      </c>
      <c r="E53" s="58">
        <f t="shared" ref="E53:R53" si="5">E9+E13+E17+E21+E25+E29+E33+E37+E41+E45+E47+E48+E49+E50+E51</f>
        <v>0</v>
      </c>
      <c r="F53" s="58">
        <f t="shared" si="5"/>
        <v>36690.654213865673</v>
      </c>
      <c r="G53" s="58">
        <f t="shared" si="5"/>
        <v>110071.96264159701</v>
      </c>
      <c r="H53" s="58">
        <f t="shared" si="5"/>
        <v>110071.96264159701</v>
      </c>
      <c r="I53" s="58">
        <f t="shared" si="5"/>
        <v>147801.92426295846</v>
      </c>
      <c r="J53" s="58">
        <f t="shared" si="5"/>
        <v>147801.92426295846</v>
      </c>
      <c r="K53" s="58">
        <f t="shared" si="5"/>
        <v>147801.92426295846</v>
      </c>
      <c r="L53" s="58">
        <f t="shared" si="5"/>
        <v>147801.92426295846</v>
      </c>
      <c r="M53" s="58">
        <f t="shared" si="5"/>
        <v>185559.1793998158</v>
      </c>
      <c r="N53" s="58">
        <f t="shared" si="5"/>
        <v>185559.1793998158</v>
      </c>
      <c r="O53" s="58">
        <f t="shared" si="5"/>
        <v>185559.1793998158</v>
      </c>
      <c r="P53" s="58">
        <f t="shared" si="5"/>
        <v>185559.1793998158</v>
      </c>
      <c r="Q53" s="58">
        <f t="shared" si="5"/>
        <v>185559.1793998158</v>
      </c>
      <c r="R53" s="58">
        <f t="shared" si="5"/>
        <v>185559.1793998158</v>
      </c>
      <c r="S53" s="8"/>
      <c r="T53" s="8"/>
    </row>
    <row r="54" spans="1:21" ht="4.5" customHeight="1" x14ac:dyDescent="0.35">
      <c r="A54" s="4"/>
      <c r="B54" s="25"/>
      <c r="C54" s="9"/>
      <c r="D54" s="9"/>
      <c r="E54" s="9"/>
      <c r="F54" s="9"/>
      <c r="G54" s="9"/>
      <c r="H54" s="9"/>
      <c r="I54" s="9"/>
      <c r="J54" s="9"/>
      <c r="K54" s="9"/>
      <c r="L54" s="9"/>
      <c r="M54" s="9"/>
      <c r="N54" s="9"/>
      <c r="O54" s="9"/>
      <c r="P54" s="9"/>
      <c r="Q54" s="9"/>
      <c r="R54" s="9"/>
      <c r="S54" s="7"/>
      <c r="T54" s="7"/>
    </row>
    <row r="55" spans="1:21" s="60" customFormat="1" ht="9" customHeight="1" x14ac:dyDescent="0.35">
      <c r="B55" s="61"/>
      <c r="C55" s="62"/>
      <c r="D55" s="62" t="b">
        <f>D53=('2. Tulud-kulud projektiga'!D53-'3. Tulud-kulud projektita'!D53)</f>
        <v>1</v>
      </c>
      <c r="E55" s="62" t="b">
        <f>E53=('2. Tulud-kulud projektiga'!E53-'3. Tulud-kulud projektita'!E53)</f>
        <v>1</v>
      </c>
      <c r="F55" s="62" t="b">
        <f>F53=('2. Tulud-kulud projektiga'!F53-'3. Tulud-kulud projektita'!F53)</f>
        <v>1</v>
      </c>
      <c r="G55" s="62" t="b">
        <f>G53=('2. Tulud-kulud projektiga'!G53-'3. Tulud-kulud projektita'!G53)</f>
        <v>1</v>
      </c>
      <c r="H55" s="62" t="b">
        <f>H53=('2. Tulud-kulud projektiga'!H53-'3. Tulud-kulud projektita'!H53)</f>
        <v>1</v>
      </c>
      <c r="I55" s="62" t="b">
        <f>I53=('2. Tulud-kulud projektiga'!I53-'3. Tulud-kulud projektita'!I53)</f>
        <v>1</v>
      </c>
      <c r="J55" s="62" t="b">
        <f>J53=('2. Tulud-kulud projektiga'!J53-'3. Tulud-kulud projektita'!J53)</f>
        <v>1</v>
      </c>
      <c r="K55" s="62" t="b">
        <f>K53=('2. Tulud-kulud projektiga'!K53-'3. Tulud-kulud projektita'!K53)</f>
        <v>1</v>
      </c>
      <c r="L55" s="62" t="b">
        <f>L53=('2. Tulud-kulud projektiga'!L53-'3. Tulud-kulud projektita'!L53)</f>
        <v>1</v>
      </c>
      <c r="M55" s="62" t="b">
        <f>M53=('2. Tulud-kulud projektiga'!M53-'3. Tulud-kulud projektita'!M53)</f>
        <v>1</v>
      </c>
      <c r="N55" s="62" t="b">
        <f>N53=('2. Tulud-kulud projektiga'!N53-'3. Tulud-kulud projektita'!N53)</f>
        <v>1</v>
      </c>
      <c r="O55" s="62" t="b">
        <f>O53=('2. Tulud-kulud projektiga'!O53-'3. Tulud-kulud projektita'!O53)</f>
        <v>1</v>
      </c>
      <c r="P55" s="62" t="b">
        <f>P53=('2. Tulud-kulud projektiga'!P53-'3. Tulud-kulud projektita'!P53)</f>
        <v>1</v>
      </c>
      <c r="Q55" s="62" t="b">
        <f>Q53=('2. Tulud-kulud projektiga'!Q53-'3. Tulud-kulud projektita'!Q53)</f>
        <v>1</v>
      </c>
      <c r="R55" s="62" t="b">
        <f>R53=('2. Tulud-kulud projektiga'!R53-'3. Tulud-kulud projektita'!R53)</f>
        <v>1</v>
      </c>
      <c r="S55" s="62"/>
      <c r="T55" s="62"/>
    </row>
    <row r="56" spans="1:21" ht="15.5" x14ac:dyDescent="0.35">
      <c r="A56" s="5" t="s">
        <v>61</v>
      </c>
      <c r="B56" s="24"/>
      <c r="C56" s="7"/>
      <c r="D56" s="7"/>
      <c r="E56" s="7"/>
      <c r="F56" s="7"/>
      <c r="G56" s="7"/>
      <c r="H56" s="7"/>
      <c r="I56" s="7"/>
      <c r="J56" s="7"/>
      <c r="K56" s="7"/>
      <c r="L56" s="7"/>
      <c r="M56" s="7"/>
      <c r="N56" s="7"/>
      <c r="O56" s="7"/>
      <c r="P56" s="7"/>
      <c r="Q56" s="7"/>
      <c r="R56" s="7"/>
      <c r="S56" s="7"/>
      <c r="T56" s="7"/>
    </row>
    <row r="57" spans="1:21" ht="4.5" customHeight="1" x14ac:dyDescent="0.35">
      <c r="A57" s="4"/>
      <c r="B57" s="25"/>
      <c r="C57" s="9"/>
      <c r="D57" s="9"/>
      <c r="E57" s="9"/>
      <c r="F57" s="9"/>
      <c r="G57" s="9"/>
      <c r="H57" s="9"/>
      <c r="I57" s="9"/>
      <c r="J57" s="9"/>
      <c r="K57" s="9"/>
      <c r="L57" s="9"/>
      <c r="M57" s="9"/>
      <c r="N57" s="9"/>
      <c r="O57" s="9"/>
      <c r="P57" s="9"/>
      <c r="Q57" s="9"/>
      <c r="R57" s="10"/>
      <c r="S57" s="7"/>
      <c r="T57" s="7"/>
    </row>
    <row r="58" spans="1:21" x14ac:dyDescent="0.35">
      <c r="A58" s="811" t="s">
        <v>10</v>
      </c>
      <c r="B58" s="50" t="str">
        <f>'2. Tulud-kulud projektiga'!B58</f>
        <v>Haldusjuht</v>
      </c>
      <c r="C58" s="51" t="s">
        <v>3</v>
      </c>
      <c r="D58" s="11">
        <f>'2. Tulud-kulud projektiga'!D58-'3. Tulud-kulud projektita'!D58</f>
        <v>0</v>
      </c>
      <c r="E58" s="11">
        <f>'2. Tulud-kulud projektiga'!E58-'3. Tulud-kulud projektita'!E58</f>
        <v>0</v>
      </c>
      <c r="F58" s="11">
        <f>'2. Tulud-kulud projektiga'!F58-'3. Tulud-kulud projektita'!F58</f>
        <v>8454</v>
      </c>
      <c r="G58" s="11">
        <f>'2. Tulud-kulud projektiga'!G58-'3. Tulud-kulud projektita'!G58</f>
        <v>16908</v>
      </c>
      <c r="H58" s="11">
        <f>'2. Tulud-kulud projektiga'!H58-'3. Tulud-kulud projektita'!H58</f>
        <v>16908</v>
      </c>
      <c r="I58" s="11">
        <f>'2. Tulud-kulud projektiga'!I58-'3. Tulud-kulud projektita'!I58</f>
        <v>16908</v>
      </c>
      <c r="J58" s="11">
        <f>'2. Tulud-kulud projektiga'!J58-'3. Tulud-kulud projektita'!J58</f>
        <v>16908</v>
      </c>
      <c r="K58" s="11">
        <f>'2. Tulud-kulud projektiga'!K58-'3. Tulud-kulud projektita'!K58</f>
        <v>16908</v>
      </c>
      <c r="L58" s="11">
        <f>'2. Tulud-kulud projektiga'!L58-'3. Tulud-kulud projektita'!L58</f>
        <v>16908</v>
      </c>
      <c r="M58" s="11">
        <f>'2. Tulud-kulud projektiga'!M58-'3. Tulud-kulud projektita'!M58</f>
        <v>16908</v>
      </c>
      <c r="N58" s="11">
        <f>'2. Tulud-kulud projektiga'!N58-'3. Tulud-kulud projektita'!N58</f>
        <v>16908</v>
      </c>
      <c r="O58" s="11">
        <f>'2. Tulud-kulud projektiga'!O58-'3. Tulud-kulud projektita'!O58</f>
        <v>16908</v>
      </c>
      <c r="P58" s="11">
        <f>'2. Tulud-kulud projektiga'!P58-'3. Tulud-kulud projektita'!P58</f>
        <v>16908</v>
      </c>
      <c r="Q58" s="11">
        <f>'2. Tulud-kulud projektiga'!Q58-'3. Tulud-kulud projektita'!Q58</f>
        <v>16908</v>
      </c>
      <c r="R58" s="11">
        <f>'2. Tulud-kulud projektiga'!R58-'3. Tulud-kulud projektita'!R58</f>
        <v>16908</v>
      </c>
      <c r="S58" s="16"/>
      <c r="T58" s="16"/>
      <c r="U58" s="17"/>
    </row>
    <row r="59" spans="1:21" x14ac:dyDescent="0.35">
      <c r="A59" s="811"/>
      <c r="B59" s="50" t="str">
        <f>'2. Tulud-kulud projektiga'!B59</f>
        <v>Majandusjuht</v>
      </c>
      <c r="C59" s="51" t="s">
        <v>3</v>
      </c>
      <c r="D59" s="11">
        <f>'2. Tulud-kulud projektiga'!D59-'3. Tulud-kulud projektita'!D59</f>
        <v>0</v>
      </c>
      <c r="E59" s="11">
        <f>'2. Tulud-kulud projektiga'!E59-'3. Tulud-kulud projektita'!E59</f>
        <v>0</v>
      </c>
      <c r="F59" s="11">
        <f>'2. Tulud-kulud projektiga'!F59-'3. Tulud-kulud projektita'!F59</f>
        <v>8454</v>
      </c>
      <c r="G59" s="11">
        <f>'2. Tulud-kulud projektiga'!G59-'3. Tulud-kulud projektita'!G59</f>
        <v>16908</v>
      </c>
      <c r="H59" s="11">
        <f>'2. Tulud-kulud projektiga'!H59-'3. Tulud-kulud projektita'!H59</f>
        <v>16908</v>
      </c>
      <c r="I59" s="11">
        <f>'2. Tulud-kulud projektiga'!I59-'3. Tulud-kulud projektita'!I59</f>
        <v>16908</v>
      </c>
      <c r="J59" s="11">
        <f>'2. Tulud-kulud projektiga'!J59-'3. Tulud-kulud projektita'!J59</f>
        <v>16908</v>
      </c>
      <c r="K59" s="11">
        <f>'2. Tulud-kulud projektiga'!K59-'3. Tulud-kulud projektita'!K59</f>
        <v>16908</v>
      </c>
      <c r="L59" s="11">
        <f>'2. Tulud-kulud projektiga'!L59-'3. Tulud-kulud projektita'!L59</f>
        <v>16908</v>
      </c>
      <c r="M59" s="11">
        <f>'2. Tulud-kulud projektiga'!M59-'3. Tulud-kulud projektita'!M59</f>
        <v>16908</v>
      </c>
      <c r="N59" s="11">
        <f>'2. Tulud-kulud projektiga'!N59-'3. Tulud-kulud projektita'!N59</f>
        <v>16908</v>
      </c>
      <c r="O59" s="11">
        <f>'2. Tulud-kulud projektiga'!O59-'3. Tulud-kulud projektita'!O59</f>
        <v>16908</v>
      </c>
      <c r="P59" s="11">
        <f>'2. Tulud-kulud projektiga'!P59-'3. Tulud-kulud projektita'!P59</f>
        <v>16908</v>
      </c>
      <c r="Q59" s="11">
        <f>'2. Tulud-kulud projektiga'!Q59-'3. Tulud-kulud projektita'!Q59</f>
        <v>16908</v>
      </c>
      <c r="R59" s="11">
        <f>'2. Tulud-kulud projektiga'!R59-'3. Tulud-kulud projektita'!R59</f>
        <v>16908</v>
      </c>
      <c r="S59" s="16"/>
      <c r="T59" s="16"/>
      <c r="U59" s="17"/>
    </row>
    <row r="60" spans="1:21" x14ac:dyDescent="0.35">
      <c r="A60" s="811"/>
      <c r="B60" s="50" t="str">
        <f>'2. Tulud-kulud projektiga'!B60</f>
        <v>Arendusjuht</v>
      </c>
      <c r="C60" s="51" t="s">
        <v>3</v>
      </c>
      <c r="D60" s="11">
        <f>'2. Tulud-kulud projektiga'!D60-'3. Tulud-kulud projektita'!D60</f>
        <v>0</v>
      </c>
      <c r="E60" s="11">
        <f>'2. Tulud-kulud projektiga'!E60-'3. Tulud-kulud projektita'!E60</f>
        <v>0</v>
      </c>
      <c r="F60" s="11">
        <f>'2. Tulud-kulud projektiga'!F60-'3. Tulud-kulud projektita'!F60</f>
        <v>8454</v>
      </c>
      <c r="G60" s="11">
        <f>'2. Tulud-kulud projektiga'!G60-'3. Tulud-kulud projektita'!G60</f>
        <v>16908</v>
      </c>
      <c r="H60" s="11">
        <f>'2. Tulud-kulud projektiga'!H60-'3. Tulud-kulud projektita'!H60</f>
        <v>16908</v>
      </c>
      <c r="I60" s="11">
        <f>'2. Tulud-kulud projektiga'!I60-'3. Tulud-kulud projektita'!I60</f>
        <v>16908</v>
      </c>
      <c r="J60" s="11">
        <f>'2. Tulud-kulud projektiga'!J60-'3. Tulud-kulud projektita'!J60</f>
        <v>16908</v>
      </c>
      <c r="K60" s="11">
        <f>'2. Tulud-kulud projektiga'!K60-'3. Tulud-kulud projektita'!K60</f>
        <v>16908</v>
      </c>
      <c r="L60" s="11">
        <f>'2. Tulud-kulud projektiga'!L60-'3. Tulud-kulud projektita'!L60</f>
        <v>16908</v>
      </c>
      <c r="M60" s="11">
        <f>'2. Tulud-kulud projektiga'!M60-'3. Tulud-kulud projektita'!M60</f>
        <v>16908</v>
      </c>
      <c r="N60" s="11">
        <f>'2. Tulud-kulud projektiga'!N60-'3. Tulud-kulud projektita'!N60</f>
        <v>16908</v>
      </c>
      <c r="O60" s="11">
        <f>'2. Tulud-kulud projektiga'!O60-'3. Tulud-kulud projektita'!O60</f>
        <v>16908</v>
      </c>
      <c r="P60" s="11">
        <f>'2. Tulud-kulud projektiga'!P60-'3. Tulud-kulud projektita'!P60</f>
        <v>16908</v>
      </c>
      <c r="Q60" s="11">
        <f>'2. Tulud-kulud projektiga'!Q60-'3. Tulud-kulud projektita'!Q60</f>
        <v>16908</v>
      </c>
      <c r="R60" s="11">
        <f>'2. Tulud-kulud projektiga'!R60-'3. Tulud-kulud projektita'!R60</f>
        <v>16908</v>
      </c>
      <c r="S60" s="16"/>
      <c r="T60" s="16"/>
      <c r="U60" s="17"/>
    </row>
    <row r="61" spans="1:21" hidden="1" x14ac:dyDescent="0.35">
      <c r="A61" s="811"/>
      <c r="B61" s="50">
        <f>'2. Tulud-kulud projektiga'!B61</f>
        <v>0</v>
      </c>
      <c r="C61" s="51" t="s">
        <v>3</v>
      </c>
      <c r="D61" s="11">
        <f>'2. Tulud-kulud projektiga'!D61-'3. Tulud-kulud projektita'!D61</f>
        <v>0</v>
      </c>
      <c r="E61" s="11">
        <f>'2. Tulud-kulud projektiga'!E61-'3. Tulud-kulud projektita'!E61</f>
        <v>0</v>
      </c>
      <c r="F61" s="11">
        <f>'2. Tulud-kulud projektiga'!F61-'3. Tulud-kulud projektita'!F61</f>
        <v>0</v>
      </c>
      <c r="G61" s="11">
        <f>'2. Tulud-kulud projektiga'!G61-'3. Tulud-kulud projektita'!G61</f>
        <v>0</v>
      </c>
      <c r="H61" s="11">
        <f>'2. Tulud-kulud projektiga'!H61-'3. Tulud-kulud projektita'!H61</f>
        <v>0</v>
      </c>
      <c r="I61" s="11">
        <f>'2. Tulud-kulud projektiga'!I61-'3. Tulud-kulud projektita'!I61</f>
        <v>0</v>
      </c>
      <c r="J61" s="11">
        <f>'2. Tulud-kulud projektiga'!J61-'3. Tulud-kulud projektita'!J61</f>
        <v>0</v>
      </c>
      <c r="K61" s="11">
        <f>'2. Tulud-kulud projektiga'!K61-'3. Tulud-kulud projektita'!K61</f>
        <v>0</v>
      </c>
      <c r="L61" s="11">
        <f>'2. Tulud-kulud projektiga'!L61-'3. Tulud-kulud projektita'!L61</f>
        <v>0</v>
      </c>
      <c r="M61" s="11">
        <f>'2. Tulud-kulud projektiga'!M61-'3. Tulud-kulud projektita'!M61</f>
        <v>0</v>
      </c>
      <c r="N61" s="11">
        <f>'2. Tulud-kulud projektiga'!N61-'3. Tulud-kulud projektita'!N61</f>
        <v>0</v>
      </c>
      <c r="O61" s="11">
        <f>'2. Tulud-kulud projektiga'!O61-'3. Tulud-kulud projektita'!O61</f>
        <v>0</v>
      </c>
      <c r="P61" s="11">
        <f>'2. Tulud-kulud projektiga'!P61-'3. Tulud-kulud projektita'!P61</f>
        <v>0</v>
      </c>
      <c r="Q61" s="11">
        <f>'2. Tulud-kulud projektiga'!Q61-'3. Tulud-kulud projektita'!Q61</f>
        <v>0</v>
      </c>
      <c r="R61" s="11">
        <f>'2. Tulud-kulud projektiga'!R61-'3. Tulud-kulud projektita'!R61</f>
        <v>0</v>
      </c>
      <c r="S61" s="16"/>
      <c r="T61" s="16"/>
      <c r="U61" s="17"/>
    </row>
    <row r="62" spans="1:21" hidden="1" x14ac:dyDescent="0.35">
      <c r="A62" s="811"/>
      <c r="B62" s="50" t="str">
        <f>'2. Tulud-kulud projektiga'!B62</f>
        <v>Töötaja 5</v>
      </c>
      <c r="C62" s="51" t="s">
        <v>3</v>
      </c>
      <c r="D62" s="11">
        <f>'2. Tulud-kulud projektiga'!D62-'3. Tulud-kulud projektita'!D62</f>
        <v>0</v>
      </c>
      <c r="E62" s="11">
        <f>'2. Tulud-kulud projektiga'!E62-'3. Tulud-kulud projektita'!E62</f>
        <v>0</v>
      </c>
      <c r="F62" s="11">
        <f>'2. Tulud-kulud projektiga'!F62-'3. Tulud-kulud projektita'!F62</f>
        <v>0</v>
      </c>
      <c r="G62" s="11">
        <f>'2. Tulud-kulud projektiga'!G62-'3. Tulud-kulud projektita'!G62</f>
        <v>0</v>
      </c>
      <c r="H62" s="11">
        <f>'2. Tulud-kulud projektiga'!H62-'3. Tulud-kulud projektita'!H62</f>
        <v>0</v>
      </c>
      <c r="I62" s="11">
        <f>'2. Tulud-kulud projektiga'!I62-'3. Tulud-kulud projektita'!I62</f>
        <v>0</v>
      </c>
      <c r="J62" s="11">
        <f>'2. Tulud-kulud projektiga'!J62-'3. Tulud-kulud projektita'!J62</f>
        <v>0</v>
      </c>
      <c r="K62" s="11">
        <f>'2. Tulud-kulud projektiga'!K62-'3. Tulud-kulud projektita'!K62</f>
        <v>0</v>
      </c>
      <c r="L62" s="11">
        <f>'2. Tulud-kulud projektiga'!L62-'3. Tulud-kulud projektita'!L62</f>
        <v>0</v>
      </c>
      <c r="M62" s="11">
        <f>'2. Tulud-kulud projektiga'!M62-'3. Tulud-kulud projektita'!M62</f>
        <v>0</v>
      </c>
      <c r="N62" s="11">
        <f>'2. Tulud-kulud projektiga'!N62-'3. Tulud-kulud projektita'!N62</f>
        <v>0</v>
      </c>
      <c r="O62" s="11">
        <f>'2. Tulud-kulud projektiga'!O62-'3. Tulud-kulud projektita'!O62</f>
        <v>0</v>
      </c>
      <c r="P62" s="11">
        <f>'2. Tulud-kulud projektiga'!P62-'3. Tulud-kulud projektita'!P62</f>
        <v>0</v>
      </c>
      <c r="Q62" s="11">
        <f>'2. Tulud-kulud projektiga'!Q62-'3. Tulud-kulud projektita'!Q62</f>
        <v>0</v>
      </c>
      <c r="R62" s="11">
        <f>'2. Tulud-kulud projektiga'!R62-'3. Tulud-kulud projektita'!R62</f>
        <v>0</v>
      </c>
      <c r="S62" s="16"/>
      <c r="T62" s="16"/>
      <c r="U62" s="17"/>
    </row>
    <row r="63" spans="1:21" hidden="1" x14ac:dyDescent="0.35">
      <c r="A63" s="811"/>
      <c r="B63" s="50" t="str">
        <f>'2. Tulud-kulud projektiga'!B63</f>
        <v>Töötaja 6</v>
      </c>
      <c r="C63" s="51" t="s">
        <v>3</v>
      </c>
      <c r="D63" s="11">
        <f>'2. Tulud-kulud projektiga'!D63-'3. Tulud-kulud projektita'!D63</f>
        <v>0</v>
      </c>
      <c r="E63" s="11">
        <f>'2. Tulud-kulud projektiga'!E63-'3. Tulud-kulud projektita'!E63</f>
        <v>0</v>
      </c>
      <c r="F63" s="11">
        <f>'2. Tulud-kulud projektiga'!F63-'3. Tulud-kulud projektita'!F63</f>
        <v>0</v>
      </c>
      <c r="G63" s="11">
        <f>'2. Tulud-kulud projektiga'!G63-'3. Tulud-kulud projektita'!G63</f>
        <v>0</v>
      </c>
      <c r="H63" s="11">
        <f>'2. Tulud-kulud projektiga'!H63-'3. Tulud-kulud projektita'!H63</f>
        <v>0</v>
      </c>
      <c r="I63" s="11">
        <f>'2. Tulud-kulud projektiga'!I63-'3. Tulud-kulud projektita'!I63</f>
        <v>0</v>
      </c>
      <c r="J63" s="11">
        <f>'2. Tulud-kulud projektiga'!J63-'3. Tulud-kulud projektita'!J63</f>
        <v>0</v>
      </c>
      <c r="K63" s="11">
        <f>'2. Tulud-kulud projektiga'!K63-'3. Tulud-kulud projektita'!K63</f>
        <v>0</v>
      </c>
      <c r="L63" s="11">
        <f>'2. Tulud-kulud projektiga'!L63-'3. Tulud-kulud projektita'!L63</f>
        <v>0</v>
      </c>
      <c r="M63" s="11">
        <f>'2. Tulud-kulud projektiga'!M63-'3. Tulud-kulud projektita'!M63</f>
        <v>0</v>
      </c>
      <c r="N63" s="11">
        <f>'2. Tulud-kulud projektiga'!N63-'3. Tulud-kulud projektita'!N63</f>
        <v>0</v>
      </c>
      <c r="O63" s="11">
        <f>'2. Tulud-kulud projektiga'!O63-'3. Tulud-kulud projektita'!O63</f>
        <v>0</v>
      </c>
      <c r="P63" s="11">
        <f>'2. Tulud-kulud projektiga'!P63-'3. Tulud-kulud projektita'!P63</f>
        <v>0</v>
      </c>
      <c r="Q63" s="11">
        <f>'2. Tulud-kulud projektiga'!Q63-'3. Tulud-kulud projektita'!Q63</f>
        <v>0</v>
      </c>
      <c r="R63" s="11">
        <f>'2. Tulud-kulud projektiga'!R63-'3. Tulud-kulud projektita'!R63</f>
        <v>0</v>
      </c>
      <c r="S63" s="16"/>
      <c r="T63" s="16"/>
      <c r="U63" s="17"/>
    </row>
    <row r="64" spans="1:21" hidden="1" x14ac:dyDescent="0.35">
      <c r="A64" s="811"/>
      <c r="B64" s="50" t="str">
        <f>'2. Tulud-kulud projektiga'!B64</f>
        <v>Töötaja 7</v>
      </c>
      <c r="C64" s="51" t="s">
        <v>3</v>
      </c>
      <c r="D64" s="11">
        <f>'2. Tulud-kulud projektiga'!D64-'3. Tulud-kulud projektita'!D64</f>
        <v>0</v>
      </c>
      <c r="E64" s="11">
        <f>'2. Tulud-kulud projektiga'!E64-'3. Tulud-kulud projektita'!E64</f>
        <v>0</v>
      </c>
      <c r="F64" s="11">
        <f>'2. Tulud-kulud projektiga'!F64-'3. Tulud-kulud projektita'!F64</f>
        <v>0</v>
      </c>
      <c r="G64" s="11">
        <f>'2. Tulud-kulud projektiga'!G64-'3. Tulud-kulud projektita'!G64</f>
        <v>0</v>
      </c>
      <c r="H64" s="11">
        <f>'2. Tulud-kulud projektiga'!H64-'3. Tulud-kulud projektita'!H64</f>
        <v>0</v>
      </c>
      <c r="I64" s="11">
        <f>'2. Tulud-kulud projektiga'!I64-'3. Tulud-kulud projektita'!I64</f>
        <v>0</v>
      </c>
      <c r="J64" s="11">
        <f>'2. Tulud-kulud projektiga'!J64-'3. Tulud-kulud projektita'!J64</f>
        <v>0</v>
      </c>
      <c r="K64" s="11">
        <f>'2. Tulud-kulud projektiga'!K64-'3. Tulud-kulud projektita'!K64</f>
        <v>0</v>
      </c>
      <c r="L64" s="11">
        <f>'2. Tulud-kulud projektiga'!L64-'3. Tulud-kulud projektita'!L64</f>
        <v>0</v>
      </c>
      <c r="M64" s="11">
        <f>'2. Tulud-kulud projektiga'!M64-'3. Tulud-kulud projektita'!M64</f>
        <v>0</v>
      </c>
      <c r="N64" s="11">
        <f>'2. Tulud-kulud projektiga'!N64-'3. Tulud-kulud projektita'!N64</f>
        <v>0</v>
      </c>
      <c r="O64" s="11">
        <f>'2. Tulud-kulud projektiga'!O64-'3. Tulud-kulud projektita'!O64</f>
        <v>0</v>
      </c>
      <c r="P64" s="11">
        <f>'2. Tulud-kulud projektiga'!P64-'3. Tulud-kulud projektita'!P64</f>
        <v>0</v>
      </c>
      <c r="Q64" s="11">
        <f>'2. Tulud-kulud projektiga'!Q64-'3. Tulud-kulud projektita'!Q64</f>
        <v>0</v>
      </c>
      <c r="R64" s="11">
        <f>'2. Tulud-kulud projektiga'!R64-'3. Tulud-kulud projektita'!R64</f>
        <v>0</v>
      </c>
      <c r="S64" s="16"/>
      <c r="T64" s="16"/>
      <c r="U64" s="17"/>
    </row>
    <row r="65" spans="1:21" hidden="1" x14ac:dyDescent="0.35">
      <c r="A65" s="811"/>
      <c r="B65" s="50" t="str">
        <f>'2. Tulud-kulud projektiga'!B65</f>
        <v>Töötaja 8</v>
      </c>
      <c r="C65" s="51" t="s">
        <v>3</v>
      </c>
      <c r="D65" s="11">
        <f>'2. Tulud-kulud projektiga'!D65-'3. Tulud-kulud projektita'!D65</f>
        <v>0</v>
      </c>
      <c r="E65" s="11">
        <f>'2. Tulud-kulud projektiga'!E65-'3. Tulud-kulud projektita'!E65</f>
        <v>0</v>
      </c>
      <c r="F65" s="11">
        <f>'2. Tulud-kulud projektiga'!F65-'3. Tulud-kulud projektita'!F65</f>
        <v>0</v>
      </c>
      <c r="G65" s="11">
        <f>'2. Tulud-kulud projektiga'!G65-'3. Tulud-kulud projektita'!G65</f>
        <v>0</v>
      </c>
      <c r="H65" s="11">
        <f>'2. Tulud-kulud projektiga'!H65-'3. Tulud-kulud projektita'!H65</f>
        <v>0</v>
      </c>
      <c r="I65" s="11">
        <f>'2. Tulud-kulud projektiga'!I65-'3. Tulud-kulud projektita'!I65</f>
        <v>0</v>
      </c>
      <c r="J65" s="11">
        <f>'2. Tulud-kulud projektiga'!J65-'3. Tulud-kulud projektita'!J65</f>
        <v>0</v>
      </c>
      <c r="K65" s="11">
        <f>'2. Tulud-kulud projektiga'!K65-'3. Tulud-kulud projektita'!K65</f>
        <v>0</v>
      </c>
      <c r="L65" s="11">
        <f>'2. Tulud-kulud projektiga'!L65-'3. Tulud-kulud projektita'!L65</f>
        <v>0</v>
      </c>
      <c r="M65" s="11">
        <f>'2. Tulud-kulud projektiga'!M65-'3. Tulud-kulud projektita'!M65</f>
        <v>0</v>
      </c>
      <c r="N65" s="11">
        <f>'2. Tulud-kulud projektiga'!N65-'3. Tulud-kulud projektita'!N65</f>
        <v>0</v>
      </c>
      <c r="O65" s="11">
        <f>'2. Tulud-kulud projektiga'!O65-'3. Tulud-kulud projektita'!O65</f>
        <v>0</v>
      </c>
      <c r="P65" s="11">
        <f>'2. Tulud-kulud projektiga'!P65-'3. Tulud-kulud projektita'!P65</f>
        <v>0</v>
      </c>
      <c r="Q65" s="11">
        <f>'2. Tulud-kulud projektiga'!Q65-'3. Tulud-kulud projektita'!Q65</f>
        <v>0</v>
      </c>
      <c r="R65" s="11">
        <f>'2. Tulud-kulud projektiga'!R65-'3. Tulud-kulud projektita'!R65</f>
        <v>0</v>
      </c>
      <c r="S65" s="16"/>
      <c r="T65" s="16"/>
      <c r="U65" s="17"/>
    </row>
    <row r="66" spans="1:21" hidden="1" x14ac:dyDescent="0.35">
      <c r="A66" s="811"/>
      <c r="B66" s="50" t="str">
        <f>'2. Tulud-kulud projektiga'!B66</f>
        <v>Töötaja 9</v>
      </c>
      <c r="C66" s="51" t="s">
        <v>3</v>
      </c>
      <c r="D66" s="11">
        <f>'2. Tulud-kulud projektiga'!D66-'3. Tulud-kulud projektita'!D66</f>
        <v>0</v>
      </c>
      <c r="E66" s="11">
        <f>'2. Tulud-kulud projektiga'!E66-'3. Tulud-kulud projektita'!E66</f>
        <v>0</v>
      </c>
      <c r="F66" s="11">
        <f>'2. Tulud-kulud projektiga'!F66-'3. Tulud-kulud projektita'!F66</f>
        <v>0</v>
      </c>
      <c r="G66" s="11">
        <f>'2. Tulud-kulud projektiga'!G66-'3. Tulud-kulud projektita'!G66</f>
        <v>0</v>
      </c>
      <c r="H66" s="11">
        <f>'2. Tulud-kulud projektiga'!H66-'3. Tulud-kulud projektita'!H66</f>
        <v>0</v>
      </c>
      <c r="I66" s="11">
        <f>'2. Tulud-kulud projektiga'!I66-'3. Tulud-kulud projektita'!I66</f>
        <v>0</v>
      </c>
      <c r="J66" s="11">
        <f>'2. Tulud-kulud projektiga'!J66-'3. Tulud-kulud projektita'!J66</f>
        <v>0</v>
      </c>
      <c r="K66" s="11">
        <f>'2. Tulud-kulud projektiga'!K66-'3. Tulud-kulud projektita'!K66</f>
        <v>0</v>
      </c>
      <c r="L66" s="11">
        <f>'2. Tulud-kulud projektiga'!L66-'3. Tulud-kulud projektita'!L66</f>
        <v>0</v>
      </c>
      <c r="M66" s="11">
        <f>'2. Tulud-kulud projektiga'!M66-'3. Tulud-kulud projektita'!M66</f>
        <v>0</v>
      </c>
      <c r="N66" s="11">
        <f>'2. Tulud-kulud projektiga'!N66-'3. Tulud-kulud projektita'!N66</f>
        <v>0</v>
      </c>
      <c r="O66" s="11">
        <f>'2. Tulud-kulud projektiga'!O66-'3. Tulud-kulud projektita'!O66</f>
        <v>0</v>
      </c>
      <c r="P66" s="11">
        <f>'2. Tulud-kulud projektiga'!P66-'3. Tulud-kulud projektita'!P66</f>
        <v>0</v>
      </c>
      <c r="Q66" s="11">
        <f>'2. Tulud-kulud projektiga'!Q66-'3. Tulud-kulud projektita'!Q66</f>
        <v>0</v>
      </c>
      <c r="R66" s="11">
        <f>'2. Tulud-kulud projektiga'!R66-'3. Tulud-kulud projektita'!R66</f>
        <v>0</v>
      </c>
      <c r="S66" s="16"/>
      <c r="T66" s="16"/>
      <c r="U66" s="17"/>
    </row>
    <row r="67" spans="1:21" hidden="1" x14ac:dyDescent="0.35">
      <c r="A67" s="811"/>
      <c r="B67" s="50" t="str">
        <f>'2. Tulud-kulud projektiga'!B67</f>
        <v>Töötaja 10</v>
      </c>
      <c r="C67" s="51" t="s">
        <v>3</v>
      </c>
      <c r="D67" s="11">
        <f>'2. Tulud-kulud projektiga'!D67-'3. Tulud-kulud projektita'!D67</f>
        <v>0</v>
      </c>
      <c r="E67" s="11">
        <f>'2. Tulud-kulud projektiga'!E67-'3. Tulud-kulud projektita'!E67</f>
        <v>0</v>
      </c>
      <c r="F67" s="11">
        <f>'2. Tulud-kulud projektiga'!F67-'3. Tulud-kulud projektita'!F67</f>
        <v>0</v>
      </c>
      <c r="G67" s="11">
        <f>'2. Tulud-kulud projektiga'!G67-'3. Tulud-kulud projektita'!G67</f>
        <v>0</v>
      </c>
      <c r="H67" s="11">
        <f>'2. Tulud-kulud projektiga'!H67-'3. Tulud-kulud projektita'!H67</f>
        <v>0</v>
      </c>
      <c r="I67" s="11">
        <f>'2. Tulud-kulud projektiga'!I67-'3. Tulud-kulud projektita'!I67</f>
        <v>0</v>
      </c>
      <c r="J67" s="11">
        <f>'2. Tulud-kulud projektiga'!J67-'3. Tulud-kulud projektita'!J67</f>
        <v>0</v>
      </c>
      <c r="K67" s="11">
        <f>'2. Tulud-kulud projektiga'!K67-'3. Tulud-kulud projektita'!K67</f>
        <v>0</v>
      </c>
      <c r="L67" s="11">
        <f>'2. Tulud-kulud projektiga'!L67-'3. Tulud-kulud projektita'!L67</f>
        <v>0</v>
      </c>
      <c r="M67" s="11">
        <f>'2. Tulud-kulud projektiga'!M67-'3. Tulud-kulud projektita'!M67</f>
        <v>0</v>
      </c>
      <c r="N67" s="11">
        <f>'2. Tulud-kulud projektiga'!N67-'3. Tulud-kulud projektita'!N67</f>
        <v>0</v>
      </c>
      <c r="O67" s="11">
        <f>'2. Tulud-kulud projektiga'!O67-'3. Tulud-kulud projektita'!O67</f>
        <v>0</v>
      </c>
      <c r="P67" s="11">
        <f>'2. Tulud-kulud projektiga'!P67-'3. Tulud-kulud projektita'!P67</f>
        <v>0</v>
      </c>
      <c r="Q67" s="11">
        <f>'2. Tulud-kulud projektiga'!Q67-'3. Tulud-kulud projektita'!Q67</f>
        <v>0</v>
      </c>
      <c r="R67" s="11">
        <f>'2. Tulud-kulud projektiga'!R67-'3. Tulud-kulud projektita'!R67</f>
        <v>0</v>
      </c>
      <c r="S67" s="16"/>
      <c r="T67" s="16"/>
      <c r="U67" s="17"/>
    </row>
    <row r="68" spans="1:21" hidden="1" x14ac:dyDescent="0.35">
      <c r="A68" s="811"/>
      <c r="B68" s="50" t="str">
        <f>'2. Tulud-kulud projektiga'!B68</f>
        <v>Töötaja 11</v>
      </c>
      <c r="C68" s="51" t="s">
        <v>3</v>
      </c>
      <c r="D68" s="11">
        <f>'2. Tulud-kulud projektiga'!D68-'3. Tulud-kulud projektita'!D68</f>
        <v>0</v>
      </c>
      <c r="E68" s="11">
        <f>'2. Tulud-kulud projektiga'!E68-'3. Tulud-kulud projektita'!E68</f>
        <v>0</v>
      </c>
      <c r="F68" s="11">
        <f>'2. Tulud-kulud projektiga'!F68-'3. Tulud-kulud projektita'!F68</f>
        <v>0</v>
      </c>
      <c r="G68" s="11">
        <f>'2. Tulud-kulud projektiga'!G68-'3. Tulud-kulud projektita'!G68</f>
        <v>0</v>
      </c>
      <c r="H68" s="11">
        <f>'2. Tulud-kulud projektiga'!H68-'3. Tulud-kulud projektita'!H68</f>
        <v>0</v>
      </c>
      <c r="I68" s="11">
        <f>'2. Tulud-kulud projektiga'!I68-'3. Tulud-kulud projektita'!I68</f>
        <v>0</v>
      </c>
      <c r="J68" s="11">
        <f>'2. Tulud-kulud projektiga'!J68-'3. Tulud-kulud projektita'!J68</f>
        <v>0</v>
      </c>
      <c r="K68" s="11">
        <f>'2. Tulud-kulud projektiga'!K68-'3. Tulud-kulud projektita'!K68</f>
        <v>0</v>
      </c>
      <c r="L68" s="11">
        <f>'2. Tulud-kulud projektiga'!L68-'3. Tulud-kulud projektita'!L68</f>
        <v>0</v>
      </c>
      <c r="M68" s="11">
        <f>'2. Tulud-kulud projektiga'!M68-'3. Tulud-kulud projektita'!M68</f>
        <v>0</v>
      </c>
      <c r="N68" s="11">
        <f>'2. Tulud-kulud projektiga'!N68-'3. Tulud-kulud projektita'!N68</f>
        <v>0</v>
      </c>
      <c r="O68" s="11">
        <f>'2. Tulud-kulud projektiga'!O68-'3. Tulud-kulud projektita'!O68</f>
        <v>0</v>
      </c>
      <c r="P68" s="11">
        <f>'2. Tulud-kulud projektiga'!P68-'3. Tulud-kulud projektita'!P68</f>
        <v>0</v>
      </c>
      <c r="Q68" s="11">
        <f>'2. Tulud-kulud projektiga'!Q68-'3. Tulud-kulud projektita'!Q68</f>
        <v>0</v>
      </c>
      <c r="R68" s="11">
        <f>'2. Tulud-kulud projektiga'!R68-'3. Tulud-kulud projektita'!R68</f>
        <v>0</v>
      </c>
      <c r="S68" s="16"/>
      <c r="T68" s="16"/>
      <c r="U68" s="17"/>
    </row>
    <row r="69" spans="1:21" hidden="1" x14ac:dyDescent="0.35">
      <c r="A69" s="811"/>
      <c r="B69" s="50" t="str">
        <f>'2. Tulud-kulud projektiga'!B69</f>
        <v>Töötaja 12</v>
      </c>
      <c r="C69" s="51" t="s">
        <v>3</v>
      </c>
      <c r="D69" s="11">
        <f>'2. Tulud-kulud projektiga'!D69-'3. Tulud-kulud projektita'!D69</f>
        <v>0</v>
      </c>
      <c r="E69" s="11">
        <f>'2. Tulud-kulud projektiga'!E69-'3. Tulud-kulud projektita'!E69</f>
        <v>0</v>
      </c>
      <c r="F69" s="11">
        <f>'2. Tulud-kulud projektiga'!F69-'3. Tulud-kulud projektita'!F69</f>
        <v>0</v>
      </c>
      <c r="G69" s="11">
        <f>'2. Tulud-kulud projektiga'!G69-'3. Tulud-kulud projektita'!G69</f>
        <v>0</v>
      </c>
      <c r="H69" s="11">
        <f>'2. Tulud-kulud projektiga'!H69-'3. Tulud-kulud projektita'!H69</f>
        <v>0</v>
      </c>
      <c r="I69" s="11">
        <f>'2. Tulud-kulud projektiga'!I69-'3. Tulud-kulud projektita'!I69</f>
        <v>0</v>
      </c>
      <c r="J69" s="11">
        <f>'2. Tulud-kulud projektiga'!J69-'3. Tulud-kulud projektita'!J69</f>
        <v>0</v>
      </c>
      <c r="K69" s="11">
        <f>'2. Tulud-kulud projektiga'!K69-'3. Tulud-kulud projektita'!K69</f>
        <v>0</v>
      </c>
      <c r="L69" s="11">
        <f>'2. Tulud-kulud projektiga'!L69-'3. Tulud-kulud projektita'!L69</f>
        <v>0</v>
      </c>
      <c r="M69" s="11">
        <f>'2. Tulud-kulud projektiga'!M69-'3. Tulud-kulud projektita'!M69</f>
        <v>0</v>
      </c>
      <c r="N69" s="11">
        <f>'2. Tulud-kulud projektiga'!N69-'3. Tulud-kulud projektita'!N69</f>
        <v>0</v>
      </c>
      <c r="O69" s="11">
        <f>'2. Tulud-kulud projektiga'!O69-'3. Tulud-kulud projektita'!O69</f>
        <v>0</v>
      </c>
      <c r="P69" s="11">
        <f>'2. Tulud-kulud projektiga'!P69-'3. Tulud-kulud projektita'!P69</f>
        <v>0</v>
      </c>
      <c r="Q69" s="11">
        <f>'2. Tulud-kulud projektiga'!Q69-'3. Tulud-kulud projektita'!Q69</f>
        <v>0</v>
      </c>
      <c r="R69" s="11">
        <f>'2. Tulud-kulud projektiga'!R69-'3. Tulud-kulud projektita'!R69</f>
        <v>0</v>
      </c>
      <c r="S69" s="16"/>
      <c r="T69" s="16"/>
      <c r="U69" s="17"/>
    </row>
    <row r="70" spans="1:21" hidden="1" x14ac:dyDescent="0.35">
      <c r="A70" s="811"/>
      <c r="B70" s="50" t="str">
        <f>'2. Tulud-kulud projektiga'!B70</f>
        <v>Töötaja 13</v>
      </c>
      <c r="C70" s="51" t="s">
        <v>3</v>
      </c>
      <c r="D70" s="11">
        <f>'2. Tulud-kulud projektiga'!D70-'3. Tulud-kulud projektita'!D70</f>
        <v>0</v>
      </c>
      <c r="E70" s="11">
        <f>'2. Tulud-kulud projektiga'!E70-'3. Tulud-kulud projektita'!E70</f>
        <v>0</v>
      </c>
      <c r="F70" s="11">
        <f>'2. Tulud-kulud projektiga'!F70-'3. Tulud-kulud projektita'!F70</f>
        <v>0</v>
      </c>
      <c r="G70" s="11">
        <f>'2. Tulud-kulud projektiga'!G70-'3. Tulud-kulud projektita'!G70</f>
        <v>0</v>
      </c>
      <c r="H70" s="11">
        <f>'2. Tulud-kulud projektiga'!H70-'3. Tulud-kulud projektita'!H70</f>
        <v>0</v>
      </c>
      <c r="I70" s="11">
        <f>'2. Tulud-kulud projektiga'!I70-'3. Tulud-kulud projektita'!I70</f>
        <v>0</v>
      </c>
      <c r="J70" s="11">
        <f>'2. Tulud-kulud projektiga'!J70-'3. Tulud-kulud projektita'!J70</f>
        <v>0</v>
      </c>
      <c r="K70" s="11">
        <f>'2. Tulud-kulud projektiga'!K70-'3. Tulud-kulud projektita'!K70</f>
        <v>0</v>
      </c>
      <c r="L70" s="11">
        <f>'2. Tulud-kulud projektiga'!L70-'3. Tulud-kulud projektita'!L70</f>
        <v>0</v>
      </c>
      <c r="M70" s="11">
        <f>'2. Tulud-kulud projektiga'!M70-'3. Tulud-kulud projektita'!M70</f>
        <v>0</v>
      </c>
      <c r="N70" s="11">
        <f>'2. Tulud-kulud projektiga'!N70-'3. Tulud-kulud projektita'!N70</f>
        <v>0</v>
      </c>
      <c r="O70" s="11">
        <f>'2. Tulud-kulud projektiga'!O70-'3. Tulud-kulud projektita'!O70</f>
        <v>0</v>
      </c>
      <c r="P70" s="11">
        <f>'2. Tulud-kulud projektiga'!P70-'3. Tulud-kulud projektita'!P70</f>
        <v>0</v>
      </c>
      <c r="Q70" s="11">
        <f>'2. Tulud-kulud projektiga'!Q70-'3. Tulud-kulud projektita'!Q70</f>
        <v>0</v>
      </c>
      <c r="R70" s="11">
        <f>'2. Tulud-kulud projektiga'!R70-'3. Tulud-kulud projektita'!R70</f>
        <v>0</v>
      </c>
      <c r="S70" s="16"/>
      <c r="T70" s="16"/>
      <c r="U70" s="17"/>
    </row>
    <row r="71" spans="1:21" hidden="1" x14ac:dyDescent="0.35">
      <c r="A71" s="811"/>
      <c r="B71" s="50" t="str">
        <f>'2. Tulud-kulud projektiga'!B71</f>
        <v>Töötaja 14</v>
      </c>
      <c r="C71" s="51" t="s">
        <v>3</v>
      </c>
      <c r="D71" s="11">
        <f>'2. Tulud-kulud projektiga'!D71-'3. Tulud-kulud projektita'!D71</f>
        <v>0</v>
      </c>
      <c r="E71" s="11">
        <f>'2. Tulud-kulud projektiga'!E71-'3. Tulud-kulud projektita'!E71</f>
        <v>0</v>
      </c>
      <c r="F71" s="11">
        <f>'2. Tulud-kulud projektiga'!F71-'3. Tulud-kulud projektita'!F71</f>
        <v>0</v>
      </c>
      <c r="G71" s="11">
        <f>'2. Tulud-kulud projektiga'!G71-'3. Tulud-kulud projektita'!G71</f>
        <v>0</v>
      </c>
      <c r="H71" s="11">
        <f>'2. Tulud-kulud projektiga'!H71-'3. Tulud-kulud projektita'!H71</f>
        <v>0</v>
      </c>
      <c r="I71" s="11">
        <f>'2. Tulud-kulud projektiga'!I71-'3. Tulud-kulud projektita'!I71</f>
        <v>0</v>
      </c>
      <c r="J71" s="11">
        <f>'2. Tulud-kulud projektiga'!J71-'3. Tulud-kulud projektita'!J71</f>
        <v>0</v>
      </c>
      <c r="K71" s="11">
        <f>'2. Tulud-kulud projektiga'!K71-'3. Tulud-kulud projektita'!K71</f>
        <v>0</v>
      </c>
      <c r="L71" s="11">
        <f>'2. Tulud-kulud projektiga'!L71-'3. Tulud-kulud projektita'!L71</f>
        <v>0</v>
      </c>
      <c r="M71" s="11">
        <f>'2. Tulud-kulud projektiga'!M71-'3. Tulud-kulud projektita'!M71</f>
        <v>0</v>
      </c>
      <c r="N71" s="11">
        <f>'2. Tulud-kulud projektiga'!N71-'3. Tulud-kulud projektita'!N71</f>
        <v>0</v>
      </c>
      <c r="O71" s="11">
        <f>'2. Tulud-kulud projektiga'!O71-'3. Tulud-kulud projektita'!O71</f>
        <v>0</v>
      </c>
      <c r="P71" s="11">
        <f>'2. Tulud-kulud projektiga'!P71-'3. Tulud-kulud projektita'!P71</f>
        <v>0</v>
      </c>
      <c r="Q71" s="11">
        <f>'2. Tulud-kulud projektiga'!Q71-'3. Tulud-kulud projektita'!Q71</f>
        <v>0</v>
      </c>
      <c r="R71" s="11">
        <f>'2. Tulud-kulud projektiga'!R71-'3. Tulud-kulud projektita'!R71</f>
        <v>0</v>
      </c>
      <c r="S71" s="16"/>
      <c r="T71" s="16"/>
      <c r="U71" s="17"/>
    </row>
    <row r="72" spans="1:21" hidden="1" x14ac:dyDescent="0.35">
      <c r="A72" s="811"/>
      <c r="B72" s="50" t="str">
        <f>'2. Tulud-kulud projektiga'!B72</f>
        <v>Töötaja 15</v>
      </c>
      <c r="C72" s="51" t="s">
        <v>3</v>
      </c>
      <c r="D72" s="11">
        <f>'2. Tulud-kulud projektiga'!D72-'3. Tulud-kulud projektita'!D72</f>
        <v>0</v>
      </c>
      <c r="E72" s="11">
        <f>'2. Tulud-kulud projektiga'!E72-'3. Tulud-kulud projektita'!E72</f>
        <v>0</v>
      </c>
      <c r="F72" s="11">
        <f>'2. Tulud-kulud projektiga'!F72-'3. Tulud-kulud projektita'!F72</f>
        <v>0</v>
      </c>
      <c r="G72" s="11">
        <f>'2. Tulud-kulud projektiga'!G72-'3. Tulud-kulud projektita'!G72</f>
        <v>0</v>
      </c>
      <c r="H72" s="11">
        <f>'2. Tulud-kulud projektiga'!H72-'3. Tulud-kulud projektita'!H72</f>
        <v>0</v>
      </c>
      <c r="I72" s="11">
        <f>'2. Tulud-kulud projektiga'!I72-'3. Tulud-kulud projektita'!I72</f>
        <v>0</v>
      </c>
      <c r="J72" s="11">
        <f>'2. Tulud-kulud projektiga'!J72-'3. Tulud-kulud projektita'!J72</f>
        <v>0</v>
      </c>
      <c r="K72" s="11">
        <f>'2. Tulud-kulud projektiga'!K72-'3. Tulud-kulud projektita'!K72</f>
        <v>0</v>
      </c>
      <c r="L72" s="11">
        <f>'2. Tulud-kulud projektiga'!L72-'3. Tulud-kulud projektita'!L72</f>
        <v>0</v>
      </c>
      <c r="M72" s="11">
        <f>'2. Tulud-kulud projektiga'!M72-'3. Tulud-kulud projektita'!M72</f>
        <v>0</v>
      </c>
      <c r="N72" s="11">
        <f>'2. Tulud-kulud projektiga'!N72-'3. Tulud-kulud projektita'!N72</f>
        <v>0</v>
      </c>
      <c r="O72" s="11">
        <f>'2. Tulud-kulud projektiga'!O72-'3. Tulud-kulud projektita'!O72</f>
        <v>0</v>
      </c>
      <c r="P72" s="11">
        <f>'2. Tulud-kulud projektiga'!P72-'3. Tulud-kulud projektita'!P72</f>
        <v>0</v>
      </c>
      <c r="Q72" s="11">
        <f>'2. Tulud-kulud projektiga'!Q72-'3. Tulud-kulud projektita'!Q72</f>
        <v>0</v>
      </c>
      <c r="R72" s="11">
        <f>'2. Tulud-kulud projektiga'!R72-'3. Tulud-kulud projektita'!R72</f>
        <v>0</v>
      </c>
      <c r="S72" s="16"/>
      <c r="T72" s="16"/>
      <c r="U72" s="17"/>
    </row>
    <row r="73" spans="1:21" hidden="1" x14ac:dyDescent="0.35">
      <c r="A73" s="811"/>
      <c r="B73" s="50" t="str">
        <f>'2. Tulud-kulud projektiga'!B73</f>
        <v>Töötaja 16</v>
      </c>
      <c r="C73" s="51" t="s">
        <v>3</v>
      </c>
      <c r="D73" s="11">
        <f>'2. Tulud-kulud projektiga'!D73-'3. Tulud-kulud projektita'!D73</f>
        <v>0</v>
      </c>
      <c r="E73" s="11">
        <f>'2. Tulud-kulud projektiga'!E73-'3. Tulud-kulud projektita'!E73</f>
        <v>0</v>
      </c>
      <c r="F73" s="11">
        <f>'2. Tulud-kulud projektiga'!F73-'3. Tulud-kulud projektita'!F73</f>
        <v>0</v>
      </c>
      <c r="G73" s="11">
        <f>'2. Tulud-kulud projektiga'!G73-'3. Tulud-kulud projektita'!G73</f>
        <v>0</v>
      </c>
      <c r="H73" s="11">
        <f>'2. Tulud-kulud projektiga'!H73-'3. Tulud-kulud projektita'!H73</f>
        <v>0</v>
      </c>
      <c r="I73" s="11">
        <f>'2. Tulud-kulud projektiga'!I73-'3. Tulud-kulud projektita'!I73</f>
        <v>0</v>
      </c>
      <c r="J73" s="11">
        <f>'2. Tulud-kulud projektiga'!J73-'3. Tulud-kulud projektita'!J73</f>
        <v>0</v>
      </c>
      <c r="K73" s="11">
        <f>'2. Tulud-kulud projektiga'!K73-'3. Tulud-kulud projektita'!K73</f>
        <v>0</v>
      </c>
      <c r="L73" s="11">
        <f>'2. Tulud-kulud projektiga'!L73-'3. Tulud-kulud projektita'!L73</f>
        <v>0</v>
      </c>
      <c r="M73" s="11">
        <f>'2. Tulud-kulud projektiga'!M73-'3. Tulud-kulud projektita'!M73</f>
        <v>0</v>
      </c>
      <c r="N73" s="11">
        <f>'2. Tulud-kulud projektiga'!N73-'3. Tulud-kulud projektita'!N73</f>
        <v>0</v>
      </c>
      <c r="O73" s="11">
        <f>'2. Tulud-kulud projektiga'!O73-'3. Tulud-kulud projektita'!O73</f>
        <v>0</v>
      </c>
      <c r="P73" s="11">
        <f>'2. Tulud-kulud projektiga'!P73-'3. Tulud-kulud projektita'!P73</f>
        <v>0</v>
      </c>
      <c r="Q73" s="11">
        <f>'2. Tulud-kulud projektiga'!Q73-'3. Tulud-kulud projektita'!Q73</f>
        <v>0</v>
      </c>
      <c r="R73" s="11">
        <f>'2. Tulud-kulud projektiga'!R73-'3. Tulud-kulud projektita'!R73</f>
        <v>0</v>
      </c>
      <c r="S73" s="16"/>
      <c r="T73" s="16"/>
      <c r="U73" s="17"/>
    </row>
    <row r="74" spans="1:21" hidden="1" x14ac:dyDescent="0.35">
      <c r="A74" s="811"/>
      <c r="B74" s="50" t="str">
        <f>'2. Tulud-kulud projektiga'!B74</f>
        <v>Töötaja 17</v>
      </c>
      <c r="C74" s="51" t="s">
        <v>3</v>
      </c>
      <c r="D74" s="11">
        <f>'2. Tulud-kulud projektiga'!D74-'3. Tulud-kulud projektita'!D74</f>
        <v>0</v>
      </c>
      <c r="E74" s="11">
        <f>'2. Tulud-kulud projektiga'!E74-'3. Tulud-kulud projektita'!E74</f>
        <v>0</v>
      </c>
      <c r="F74" s="11">
        <f>'2. Tulud-kulud projektiga'!F74-'3. Tulud-kulud projektita'!F74</f>
        <v>0</v>
      </c>
      <c r="G74" s="11">
        <f>'2. Tulud-kulud projektiga'!G74-'3. Tulud-kulud projektita'!G74</f>
        <v>0</v>
      </c>
      <c r="H74" s="11">
        <f>'2. Tulud-kulud projektiga'!H74-'3. Tulud-kulud projektita'!H74</f>
        <v>0</v>
      </c>
      <c r="I74" s="11">
        <f>'2. Tulud-kulud projektiga'!I74-'3. Tulud-kulud projektita'!I74</f>
        <v>0</v>
      </c>
      <c r="J74" s="11">
        <f>'2. Tulud-kulud projektiga'!J74-'3. Tulud-kulud projektita'!J74</f>
        <v>0</v>
      </c>
      <c r="K74" s="11">
        <f>'2. Tulud-kulud projektiga'!K74-'3. Tulud-kulud projektita'!K74</f>
        <v>0</v>
      </c>
      <c r="L74" s="11">
        <f>'2. Tulud-kulud projektiga'!L74-'3. Tulud-kulud projektita'!L74</f>
        <v>0</v>
      </c>
      <c r="M74" s="11">
        <f>'2. Tulud-kulud projektiga'!M74-'3. Tulud-kulud projektita'!M74</f>
        <v>0</v>
      </c>
      <c r="N74" s="11">
        <f>'2. Tulud-kulud projektiga'!N74-'3. Tulud-kulud projektita'!N74</f>
        <v>0</v>
      </c>
      <c r="O74" s="11">
        <f>'2. Tulud-kulud projektiga'!O74-'3. Tulud-kulud projektita'!O74</f>
        <v>0</v>
      </c>
      <c r="P74" s="11">
        <f>'2. Tulud-kulud projektiga'!P74-'3. Tulud-kulud projektita'!P74</f>
        <v>0</v>
      </c>
      <c r="Q74" s="11">
        <f>'2. Tulud-kulud projektiga'!Q74-'3. Tulud-kulud projektita'!Q74</f>
        <v>0</v>
      </c>
      <c r="R74" s="11">
        <f>'2. Tulud-kulud projektiga'!R74-'3. Tulud-kulud projektita'!R74</f>
        <v>0</v>
      </c>
      <c r="S74" s="16"/>
      <c r="T74" s="16"/>
      <c r="U74" s="17"/>
    </row>
    <row r="75" spans="1:21" hidden="1" x14ac:dyDescent="0.35">
      <c r="A75" s="811"/>
      <c r="B75" s="50" t="str">
        <f>'2. Tulud-kulud projektiga'!B75</f>
        <v>Töötaja 18</v>
      </c>
      <c r="C75" s="51" t="s">
        <v>3</v>
      </c>
      <c r="D75" s="11">
        <f>'2. Tulud-kulud projektiga'!D75-'3. Tulud-kulud projektita'!D75</f>
        <v>0</v>
      </c>
      <c r="E75" s="11">
        <f>'2. Tulud-kulud projektiga'!E75-'3. Tulud-kulud projektita'!E75</f>
        <v>0</v>
      </c>
      <c r="F75" s="11">
        <f>'2. Tulud-kulud projektiga'!F75-'3. Tulud-kulud projektita'!F75</f>
        <v>0</v>
      </c>
      <c r="G75" s="11">
        <f>'2. Tulud-kulud projektiga'!G75-'3. Tulud-kulud projektita'!G75</f>
        <v>0</v>
      </c>
      <c r="H75" s="11">
        <f>'2. Tulud-kulud projektiga'!H75-'3. Tulud-kulud projektita'!H75</f>
        <v>0</v>
      </c>
      <c r="I75" s="11">
        <f>'2. Tulud-kulud projektiga'!I75-'3. Tulud-kulud projektita'!I75</f>
        <v>0</v>
      </c>
      <c r="J75" s="11">
        <f>'2. Tulud-kulud projektiga'!J75-'3. Tulud-kulud projektita'!J75</f>
        <v>0</v>
      </c>
      <c r="K75" s="11">
        <f>'2. Tulud-kulud projektiga'!K75-'3. Tulud-kulud projektita'!K75</f>
        <v>0</v>
      </c>
      <c r="L75" s="11">
        <f>'2. Tulud-kulud projektiga'!L75-'3. Tulud-kulud projektita'!L75</f>
        <v>0</v>
      </c>
      <c r="M75" s="11">
        <f>'2. Tulud-kulud projektiga'!M75-'3. Tulud-kulud projektita'!M75</f>
        <v>0</v>
      </c>
      <c r="N75" s="11">
        <f>'2. Tulud-kulud projektiga'!N75-'3. Tulud-kulud projektita'!N75</f>
        <v>0</v>
      </c>
      <c r="O75" s="11">
        <f>'2. Tulud-kulud projektiga'!O75-'3. Tulud-kulud projektita'!O75</f>
        <v>0</v>
      </c>
      <c r="P75" s="11">
        <f>'2. Tulud-kulud projektiga'!P75-'3. Tulud-kulud projektita'!P75</f>
        <v>0</v>
      </c>
      <c r="Q75" s="11">
        <f>'2. Tulud-kulud projektiga'!Q75-'3. Tulud-kulud projektita'!Q75</f>
        <v>0</v>
      </c>
      <c r="R75" s="11">
        <f>'2. Tulud-kulud projektiga'!R75-'3. Tulud-kulud projektita'!R75</f>
        <v>0</v>
      </c>
      <c r="S75" s="16"/>
      <c r="T75" s="16"/>
      <c r="U75" s="17"/>
    </row>
    <row r="76" spans="1:21" hidden="1" x14ac:dyDescent="0.35">
      <c r="A76" s="811"/>
      <c r="B76" s="50" t="str">
        <f>'2. Tulud-kulud projektiga'!B76</f>
        <v>Töötaja 19</v>
      </c>
      <c r="C76" s="51" t="s">
        <v>3</v>
      </c>
      <c r="D76" s="11">
        <f>'2. Tulud-kulud projektiga'!D76-'3. Tulud-kulud projektita'!D76</f>
        <v>0</v>
      </c>
      <c r="E76" s="11">
        <f>'2. Tulud-kulud projektiga'!E76-'3. Tulud-kulud projektita'!E76</f>
        <v>0</v>
      </c>
      <c r="F76" s="11">
        <f>'2. Tulud-kulud projektiga'!F76-'3. Tulud-kulud projektita'!F76</f>
        <v>0</v>
      </c>
      <c r="G76" s="11">
        <f>'2. Tulud-kulud projektiga'!G76-'3. Tulud-kulud projektita'!G76</f>
        <v>0</v>
      </c>
      <c r="H76" s="11">
        <f>'2. Tulud-kulud projektiga'!H76-'3. Tulud-kulud projektita'!H76</f>
        <v>0</v>
      </c>
      <c r="I76" s="11">
        <f>'2. Tulud-kulud projektiga'!I76-'3. Tulud-kulud projektita'!I76</f>
        <v>0</v>
      </c>
      <c r="J76" s="11">
        <f>'2. Tulud-kulud projektiga'!J76-'3. Tulud-kulud projektita'!J76</f>
        <v>0</v>
      </c>
      <c r="K76" s="11">
        <f>'2. Tulud-kulud projektiga'!K76-'3. Tulud-kulud projektita'!K76</f>
        <v>0</v>
      </c>
      <c r="L76" s="11">
        <f>'2. Tulud-kulud projektiga'!L76-'3. Tulud-kulud projektita'!L76</f>
        <v>0</v>
      </c>
      <c r="M76" s="11">
        <f>'2. Tulud-kulud projektiga'!M76-'3. Tulud-kulud projektita'!M76</f>
        <v>0</v>
      </c>
      <c r="N76" s="11">
        <f>'2. Tulud-kulud projektiga'!N76-'3. Tulud-kulud projektita'!N76</f>
        <v>0</v>
      </c>
      <c r="O76" s="11">
        <f>'2. Tulud-kulud projektiga'!O76-'3. Tulud-kulud projektita'!O76</f>
        <v>0</v>
      </c>
      <c r="P76" s="11">
        <f>'2. Tulud-kulud projektiga'!P76-'3. Tulud-kulud projektita'!P76</f>
        <v>0</v>
      </c>
      <c r="Q76" s="11">
        <f>'2. Tulud-kulud projektiga'!Q76-'3. Tulud-kulud projektita'!Q76</f>
        <v>0</v>
      </c>
      <c r="R76" s="11">
        <f>'2. Tulud-kulud projektiga'!R76-'3. Tulud-kulud projektita'!R76</f>
        <v>0</v>
      </c>
      <c r="S76" s="16"/>
      <c r="T76" s="16"/>
      <c r="U76" s="17"/>
    </row>
    <row r="77" spans="1:21" hidden="1" x14ac:dyDescent="0.35">
      <c r="A77" s="811"/>
      <c r="B77" s="50" t="str">
        <f>'2. Tulud-kulud projektiga'!B77</f>
        <v>Töötaja 20</v>
      </c>
      <c r="C77" s="51" t="s">
        <v>3</v>
      </c>
      <c r="D77" s="11">
        <f>'2. Tulud-kulud projektiga'!D77-'3. Tulud-kulud projektita'!D77</f>
        <v>0</v>
      </c>
      <c r="E77" s="11">
        <f>'2. Tulud-kulud projektiga'!E77-'3. Tulud-kulud projektita'!E77</f>
        <v>0</v>
      </c>
      <c r="F77" s="11">
        <f>'2. Tulud-kulud projektiga'!F77-'3. Tulud-kulud projektita'!F77</f>
        <v>0</v>
      </c>
      <c r="G77" s="11">
        <f>'2. Tulud-kulud projektiga'!G77-'3. Tulud-kulud projektita'!G77</f>
        <v>0</v>
      </c>
      <c r="H77" s="11">
        <f>'2. Tulud-kulud projektiga'!H77-'3. Tulud-kulud projektita'!H77</f>
        <v>0</v>
      </c>
      <c r="I77" s="11">
        <f>'2. Tulud-kulud projektiga'!I77-'3. Tulud-kulud projektita'!I77</f>
        <v>0</v>
      </c>
      <c r="J77" s="11">
        <f>'2. Tulud-kulud projektiga'!J77-'3. Tulud-kulud projektita'!J77</f>
        <v>0</v>
      </c>
      <c r="K77" s="11">
        <f>'2. Tulud-kulud projektiga'!K77-'3. Tulud-kulud projektita'!K77</f>
        <v>0</v>
      </c>
      <c r="L77" s="11">
        <f>'2. Tulud-kulud projektiga'!L77-'3. Tulud-kulud projektita'!L77</f>
        <v>0</v>
      </c>
      <c r="M77" s="11">
        <f>'2. Tulud-kulud projektiga'!M77-'3. Tulud-kulud projektita'!M77</f>
        <v>0</v>
      </c>
      <c r="N77" s="11">
        <f>'2. Tulud-kulud projektiga'!N77-'3. Tulud-kulud projektita'!N77</f>
        <v>0</v>
      </c>
      <c r="O77" s="11">
        <f>'2. Tulud-kulud projektiga'!O77-'3. Tulud-kulud projektita'!O77</f>
        <v>0</v>
      </c>
      <c r="P77" s="11">
        <f>'2. Tulud-kulud projektiga'!P77-'3. Tulud-kulud projektita'!P77</f>
        <v>0</v>
      </c>
      <c r="Q77" s="11">
        <f>'2. Tulud-kulud projektiga'!Q77-'3. Tulud-kulud projektita'!Q77</f>
        <v>0</v>
      </c>
      <c r="R77" s="11">
        <f>'2. Tulud-kulud projektiga'!R77-'3. Tulud-kulud projektita'!R77</f>
        <v>0</v>
      </c>
      <c r="S77" s="16"/>
      <c r="T77" s="16"/>
      <c r="U77" s="17"/>
    </row>
    <row r="78" spans="1:21" x14ac:dyDescent="0.35">
      <c r="A78" s="811"/>
      <c r="B78" s="50" t="s">
        <v>18</v>
      </c>
      <c r="C78" s="51" t="s">
        <v>3</v>
      </c>
      <c r="D78" s="56">
        <f>'2. Tulud-kulud projektiga'!D78-'3. Tulud-kulud projektita'!D78</f>
        <v>0</v>
      </c>
      <c r="E78" s="56">
        <f>'2. Tulud-kulud projektiga'!E78-'3. Tulud-kulud projektita'!E78</f>
        <v>0</v>
      </c>
      <c r="F78" s="56">
        <f>'2. Tulud-kulud projektiga'!F78-'3. Tulud-kulud projektita'!F78</f>
        <v>25362</v>
      </c>
      <c r="G78" s="56">
        <f>'2. Tulud-kulud projektiga'!G78-'3. Tulud-kulud projektita'!G78</f>
        <v>50724</v>
      </c>
      <c r="H78" s="56">
        <f>'2. Tulud-kulud projektiga'!H78-'3. Tulud-kulud projektita'!H78</f>
        <v>50724</v>
      </c>
      <c r="I78" s="56">
        <f>'2. Tulud-kulud projektiga'!I78-'3. Tulud-kulud projektita'!I78</f>
        <v>50724</v>
      </c>
      <c r="J78" s="56">
        <f>'2. Tulud-kulud projektiga'!J78-'3. Tulud-kulud projektita'!J78</f>
        <v>50724</v>
      </c>
      <c r="K78" s="56">
        <f>'2. Tulud-kulud projektiga'!K78-'3. Tulud-kulud projektita'!K78</f>
        <v>50724</v>
      </c>
      <c r="L78" s="56">
        <f>'2. Tulud-kulud projektiga'!L78-'3. Tulud-kulud projektita'!L78</f>
        <v>50724</v>
      </c>
      <c r="M78" s="56">
        <f>'2. Tulud-kulud projektiga'!M78-'3. Tulud-kulud projektita'!M78</f>
        <v>50724</v>
      </c>
      <c r="N78" s="56">
        <f>'2. Tulud-kulud projektiga'!N78-'3. Tulud-kulud projektita'!N78</f>
        <v>50724</v>
      </c>
      <c r="O78" s="56">
        <f>'2. Tulud-kulud projektiga'!O78-'3. Tulud-kulud projektita'!O78</f>
        <v>50724</v>
      </c>
      <c r="P78" s="56">
        <f>'2. Tulud-kulud projektiga'!P78-'3. Tulud-kulud projektita'!P78</f>
        <v>50724</v>
      </c>
      <c r="Q78" s="56">
        <f>'2. Tulud-kulud projektiga'!Q78-'3. Tulud-kulud projektita'!Q78</f>
        <v>50724</v>
      </c>
      <c r="R78" s="56">
        <f>'2. Tulud-kulud projektiga'!R78-'3. Tulud-kulud projektita'!R78</f>
        <v>50724</v>
      </c>
      <c r="S78" s="16"/>
      <c r="T78" s="16"/>
      <c r="U78" s="17"/>
    </row>
    <row r="79" spans="1:21" x14ac:dyDescent="0.35">
      <c r="A79" s="811"/>
      <c r="B79" s="50" t="s">
        <v>17</v>
      </c>
      <c r="C79" s="55"/>
      <c r="D79" s="56">
        <f>'2. Tulud-kulud projektiga'!D79-'3. Tulud-kulud projektita'!D79</f>
        <v>0</v>
      </c>
      <c r="E79" s="56">
        <f>'2. Tulud-kulud projektiga'!E79-'3. Tulud-kulud projektita'!E79</f>
        <v>0</v>
      </c>
      <c r="F79" s="56">
        <f>'2. Tulud-kulud projektiga'!F79-'3. Tulud-kulud projektita'!F79</f>
        <v>8572.3559999999998</v>
      </c>
      <c r="G79" s="56">
        <f>'2. Tulud-kulud projektiga'!G79-'3. Tulud-kulud projektita'!G79</f>
        <v>17144.712</v>
      </c>
      <c r="H79" s="56">
        <f>'2. Tulud-kulud projektiga'!H79-'3. Tulud-kulud projektita'!H79</f>
        <v>17144.712</v>
      </c>
      <c r="I79" s="56">
        <f>'2. Tulud-kulud projektiga'!I79-'3. Tulud-kulud projektita'!I79</f>
        <v>17144.712</v>
      </c>
      <c r="J79" s="56">
        <f>'2. Tulud-kulud projektiga'!J79-'3. Tulud-kulud projektita'!J79</f>
        <v>17144.712</v>
      </c>
      <c r="K79" s="56">
        <f>'2. Tulud-kulud projektiga'!K79-'3. Tulud-kulud projektita'!K79</f>
        <v>17144.712</v>
      </c>
      <c r="L79" s="56">
        <f>'2. Tulud-kulud projektiga'!L79-'3. Tulud-kulud projektita'!L79</f>
        <v>17144.712</v>
      </c>
      <c r="M79" s="56">
        <f>'2. Tulud-kulud projektiga'!M79-'3. Tulud-kulud projektita'!M79</f>
        <v>17144.712</v>
      </c>
      <c r="N79" s="56">
        <f>'2. Tulud-kulud projektiga'!N79-'3. Tulud-kulud projektita'!N79</f>
        <v>17144.712</v>
      </c>
      <c r="O79" s="56">
        <f>'2. Tulud-kulud projektiga'!O79-'3. Tulud-kulud projektita'!O79</f>
        <v>17144.712</v>
      </c>
      <c r="P79" s="56">
        <f>'2. Tulud-kulud projektiga'!P79-'3. Tulud-kulud projektita'!P79</f>
        <v>17144.712</v>
      </c>
      <c r="Q79" s="56">
        <f>'2. Tulud-kulud projektiga'!Q79-'3. Tulud-kulud projektita'!Q79</f>
        <v>17144.712</v>
      </c>
      <c r="R79" s="56">
        <f>'2. Tulud-kulud projektiga'!R79-'3. Tulud-kulud projektita'!R79</f>
        <v>17144.712</v>
      </c>
      <c r="S79" s="16"/>
      <c r="T79" s="16"/>
      <c r="U79" s="17"/>
    </row>
    <row r="80" spans="1:21" x14ac:dyDescent="0.35">
      <c r="A80" s="801" t="s">
        <v>19</v>
      </c>
      <c r="B80" s="802"/>
      <c r="C80" s="49"/>
      <c r="D80" s="59">
        <f>'2. Tulud-kulud projektiga'!D80-'3. Tulud-kulud projektita'!D80</f>
        <v>0</v>
      </c>
      <c r="E80" s="59">
        <f>'2. Tulud-kulud projektiga'!E80-'3. Tulud-kulud projektita'!E80</f>
        <v>0</v>
      </c>
      <c r="F80" s="59">
        <f>'2. Tulud-kulud projektiga'!F80-'3. Tulud-kulud projektita'!F80</f>
        <v>33934.356</v>
      </c>
      <c r="G80" s="59">
        <f>'2. Tulud-kulud projektiga'!G80-'3. Tulud-kulud projektita'!G80</f>
        <v>67868.712</v>
      </c>
      <c r="H80" s="59">
        <f>'2. Tulud-kulud projektiga'!H80-'3. Tulud-kulud projektita'!H80</f>
        <v>67868.712</v>
      </c>
      <c r="I80" s="59">
        <f>'2. Tulud-kulud projektiga'!I80-'3. Tulud-kulud projektita'!I80</f>
        <v>67868.712</v>
      </c>
      <c r="J80" s="59">
        <f>'2. Tulud-kulud projektiga'!J80-'3. Tulud-kulud projektita'!J80</f>
        <v>67868.712</v>
      </c>
      <c r="K80" s="59">
        <f>'2. Tulud-kulud projektiga'!K80-'3. Tulud-kulud projektita'!K80</f>
        <v>67868.712</v>
      </c>
      <c r="L80" s="59">
        <f>'2. Tulud-kulud projektiga'!L80-'3. Tulud-kulud projektita'!L80</f>
        <v>67868.712</v>
      </c>
      <c r="M80" s="59">
        <f>'2. Tulud-kulud projektiga'!M80-'3. Tulud-kulud projektita'!M80</f>
        <v>67868.712</v>
      </c>
      <c r="N80" s="59">
        <f>'2. Tulud-kulud projektiga'!N80-'3. Tulud-kulud projektita'!N80</f>
        <v>67868.712</v>
      </c>
      <c r="O80" s="59">
        <f>'2. Tulud-kulud projektiga'!O80-'3. Tulud-kulud projektita'!O80</f>
        <v>67868.712</v>
      </c>
      <c r="P80" s="59">
        <f>'2. Tulud-kulud projektiga'!P80-'3. Tulud-kulud projektita'!P80</f>
        <v>67868.712</v>
      </c>
      <c r="Q80" s="59">
        <f>'2. Tulud-kulud projektiga'!Q80-'3. Tulud-kulud projektita'!Q80</f>
        <v>67868.712</v>
      </c>
      <c r="R80" s="59">
        <f>'2. Tulud-kulud projektiga'!R80-'3. Tulud-kulud projektita'!R80</f>
        <v>67868.712</v>
      </c>
      <c r="S80" s="16"/>
      <c r="T80" s="16"/>
      <c r="U80" s="17"/>
    </row>
    <row r="81" spans="1:21" ht="4.5" customHeight="1" x14ac:dyDescent="0.35">
      <c r="A81" s="4"/>
      <c r="B81" s="25"/>
      <c r="C81" s="9"/>
      <c r="D81" s="18"/>
      <c r="E81" s="18"/>
      <c r="F81" s="18"/>
      <c r="G81" s="18"/>
      <c r="H81" s="18"/>
      <c r="I81" s="18"/>
      <c r="J81" s="18"/>
      <c r="K81" s="18"/>
      <c r="L81" s="18"/>
      <c r="M81" s="18"/>
      <c r="N81" s="18"/>
      <c r="O81" s="18"/>
      <c r="P81" s="18"/>
      <c r="Q81" s="18"/>
      <c r="R81" s="18"/>
      <c r="S81" s="16"/>
      <c r="T81" s="16"/>
      <c r="U81" s="17"/>
    </row>
    <row r="82" spans="1:21" x14ac:dyDescent="0.35">
      <c r="A82" s="811" t="str">
        <f>'2. Tulud-kulud projektiga'!A82:A91</f>
        <v>Halduskulud</v>
      </c>
      <c r="B82" s="50" t="str">
        <f>'2. Tulud-kulud projektiga'!B82</f>
        <v>Küte</v>
      </c>
      <c r="C82" s="51" t="s">
        <v>3</v>
      </c>
      <c r="D82" s="11">
        <f>'2. Tulud-kulud projektiga'!D82-'3. Tulud-kulud projektita'!D82</f>
        <v>0</v>
      </c>
      <c r="E82" s="11">
        <f>'2. Tulud-kulud projektiga'!E82-'3. Tulud-kulud projektita'!E82</f>
        <v>0</v>
      </c>
      <c r="F82" s="11">
        <f>'2. Tulud-kulud projektiga'!F82-'3. Tulud-kulud projektita'!F82</f>
        <v>1574.2779765333335</v>
      </c>
      <c r="G82" s="11">
        <f>'2. Tulud-kulud projektiga'!G82-'3. Tulud-kulud projektita'!G82</f>
        <v>4722.8339296000004</v>
      </c>
      <c r="H82" s="11">
        <f>'2. Tulud-kulud projektiga'!H82-'3. Tulud-kulud projektita'!H82</f>
        <v>4722.8339296000004</v>
      </c>
      <c r="I82" s="11">
        <f>'2. Tulud-kulud projektiga'!I82-'3. Tulud-kulud projektita'!I82</f>
        <v>4722.8339296000013</v>
      </c>
      <c r="J82" s="11">
        <f>'2. Tulud-kulud projektiga'!J82-'3. Tulud-kulud projektita'!J82</f>
        <v>4722.8339296000013</v>
      </c>
      <c r="K82" s="11">
        <f>'2. Tulud-kulud projektiga'!K82-'3. Tulud-kulud projektita'!K82</f>
        <v>4722.8339296000013</v>
      </c>
      <c r="L82" s="11">
        <f>'2. Tulud-kulud projektiga'!L82-'3. Tulud-kulud projektita'!L82</f>
        <v>4722.8339296000013</v>
      </c>
      <c r="M82" s="11">
        <f>'2. Tulud-kulud projektiga'!M82-'3. Tulud-kulud projektita'!M82</f>
        <v>4722.8339296000004</v>
      </c>
      <c r="N82" s="11">
        <f>'2. Tulud-kulud projektiga'!N82-'3. Tulud-kulud projektita'!N82</f>
        <v>4722.8339296000004</v>
      </c>
      <c r="O82" s="11">
        <f>'2. Tulud-kulud projektiga'!O82-'3. Tulud-kulud projektita'!O82</f>
        <v>4722.8339296000004</v>
      </c>
      <c r="P82" s="11">
        <f>'2. Tulud-kulud projektiga'!P82-'3. Tulud-kulud projektita'!P82</f>
        <v>4722.8339296000004</v>
      </c>
      <c r="Q82" s="11">
        <f>'2. Tulud-kulud projektiga'!Q82-'3. Tulud-kulud projektita'!Q82</f>
        <v>4722.8339296000004</v>
      </c>
      <c r="R82" s="11">
        <f>'2. Tulud-kulud projektiga'!R82-'3. Tulud-kulud projektita'!R82</f>
        <v>4722.8339296000004</v>
      </c>
      <c r="S82" s="16"/>
      <c r="T82" s="16"/>
      <c r="U82" s="17"/>
    </row>
    <row r="83" spans="1:21" x14ac:dyDescent="0.35">
      <c r="A83" s="811"/>
      <c r="B83" s="50" t="str">
        <f>'2. Tulud-kulud projektiga'!B83</f>
        <v>Elekter</v>
      </c>
      <c r="C83" s="51" t="s">
        <v>3</v>
      </c>
      <c r="D83" s="11">
        <f>'2. Tulud-kulud projektiga'!D83-'3. Tulud-kulud projektita'!D83</f>
        <v>0</v>
      </c>
      <c r="E83" s="11">
        <f>'2. Tulud-kulud projektiga'!E83-'3. Tulud-kulud projektita'!E83</f>
        <v>0</v>
      </c>
      <c r="F83" s="11">
        <f>'2. Tulud-kulud projektiga'!F83-'3. Tulud-kulud projektita'!F83</f>
        <v>200.17676250000002</v>
      </c>
      <c r="G83" s="11">
        <f>'2. Tulud-kulud projektiga'!G83-'3. Tulud-kulud projektita'!G83</f>
        <v>600.5302875000001</v>
      </c>
      <c r="H83" s="11">
        <f>'2. Tulud-kulud projektiga'!H83-'3. Tulud-kulud projektita'!H83</f>
        <v>600.5302875000001</v>
      </c>
      <c r="I83" s="11">
        <f>'2. Tulud-kulud projektiga'!I83-'3. Tulud-kulud projektita'!I83</f>
        <v>631.86922500000026</v>
      </c>
      <c r="J83" s="11">
        <f>'2. Tulud-kulud projektiga'!J83-'3. Tulud-kulud projektita'!J83</f>
        <v>631.86922500000026</v>
      </c>
      <c r="K83" s="11">
        <f>'2. Tulud-kulud projektiga'!K83-'3. Tulud-kulud projektita'!K83</f>
        <v>631.86922500000026</v>
      </c>
      <c r="L83" s="11">
        <f>'2. Tulud-kulud projektiga'!L83-'3. Tulud-kulud projektita'!L83</f>
        <v>631.86922500000026</v>
      </c>
      <c r="M83" s="11">
        <f>'2. Tulud-kulud projektiga'!M83-'3. Tulud-kulud projektita'!M83</f>
        <v>663.20816250000007</v>
      </c>
      <c r="N83" s="11">
        <f>'2. Tulud-kulud projektiga'!N83-'3. Tulud-kulud projektita'!N83</f>
        <v>663.20816250000007</v>
      </c>
      <c r="O83" s="11">
        <f>'2. Tulud-kulud projektiga'!O83-'3. Tulud-kulud projektita'!O83</f>
        <v>663.20816250000007</v>
      </c>
      <c r="P83" s="11">
        <f>'2. Tulud-kulud projektiga'!P83-'3. Tulud-kulud projektita'!P83</f>
        <v>663.20816250000007</v>
      </c>
      <c r="Q83" s="11">
        <f>'2. Tulud-kulud projektiga'!Q83-'3. Tulud-kulud projektita'!Q83</f>
        <v>663.20816250000007</v>
      </c>
      <c r="R83" s="11">
        <f>'2. Tulud-kulud projektiga'!R83-'3. Tulud-kulud projektita'!R83</f>
        <v>663.20816250000007</v>
      </c>
      <c r="S83" s="16"/>
      <c r="T83" s="16"/>
      <c r="U83" s="17"/>
    </row>
    <row r="84" spans="1:21" x14ac:dyDescent="0.35">
      <c r="A84" s="811"/>
      <c r="B84" s="50" t="str">
        <f>'2. Tulud-kulud projektiga'!B84</f>
        <v>Vesi ja kanalisatsioon</v>
      </c>
      <c r="C84" s="51" t="s">
        <v>3</v>
      </c>
      <c r="D84" s="11">
        <f>'2. Tulud-kulud projektiga'!D84-'3. Tulud-kulud projektita'!D84</f>
        <v>0</v>
      </c>
      <c r="E84" s="11">
        <f>'2. Tulud-kulud projektiga'!E84-'3. Tulud-kulud projektita'!E84</f>
        <v>0</v>
      </c>
      <c r="F84" s="11">
        <f>'2. Tulud-kulud projektiga'!F84-'3. Tulud-kulud projektita'!F84</f>
        <v>829.95163229999991</v>
      </c>
      <c r="G84" s="11">
        <f>'2. Tulud-kulud projektiga'!G84-'3. Tulud-kulud projektita'!G84</f>
        <v>2489.8548968999999</v>
      </c>
      <c r="H84" s="11">
        <f>'2. Tulud-kulud projektiga'!H84-'3. Tulud-kulud projektita'!H84</f>
        <v>2489.8548968999999</v>
      </c>
      <c r="I84" s="11">
        <f>'2. Tulud-kulud projektiga'!I84-'3. Tulud-kulud projektita'!I84</f>
        <v>2719.6282134000003</v>
      </c>
      <c r="J84" s="11">
        <f>'2. Tulud-kulud projektiga'!J84-'3. Tulud-kulud projektita'!J84</f>
        <v>2719.6282134000003</v>
      </c>
      <c r="K84" s="11">
        <f>'2. Tulud-kulud projektiga'!K84-'3. Tulud-kulud projektita'!K84</f>
        <v>2719.6282134000003</v>
      </c>
      <c r="L84" s="11">
        <f>'2. Tulud-kulud projektiga'!L84-'3. Tulud-kulud projektita'!L84</f>
        <v>2719.6282134000003</v>
      </c>
      <c r="M84" s="11">
        <f>'2. Tulud-kulud projektiga'!M84-'3. Tulud-kulud projektita'!M84</f>
        <v>2949.4015299000002</v>
      </c>
      <c r="N84" s="11">
        <f>'2. Tulud-kulud projektiga'!N84-'3. Tulud-kulud projektita'!N84</f>
        <v>2949.4015299000002</v>
      </c>
      <c r="O84" s="11">
        <f>'2. Tulud-kulud projektiga'!O84-'3. Tulud-kulud projektita'!O84</f>
        <v>2949.4015299000002</v>
      </c>
      <c r="P84" s="11">
        <f>'2. Tulud-kulud projektiga'!P84-'3. Tulud-kulud projektita'!P84</f>
        <v>2949.4015299000002</v>
      </c>
      <c r="Q84" s="11">
        <f>'2. Tulud-kulud projektiga'!Q84-'3. Tulud-kulud projektita'!Q84</f>
        <v>2949.4015299000002</v>
      </c>
      <c r="R84" s="11">
        <f>'2. Tulud-kulud projektiga'!R84-'3. Tulud-kulud projektita'!R84</f>
        <v>2949.4015299000002</v>
      </c>
      <c r="S84" s="16"/>
      <c r="T84" s="16"/>
      <c r="U84" s="17"/>
    </row>
    <row r="85" spans="1:21" x14ac:dyDescent="0.35">
      <c r="A85" s="811"/>
      <c r="B85" s="50" t="str">
        <f>'2. Tulud-kulud projektiga'!B85</f>
        <v>Tehnohooldus</v>
      </c>
      <c r="C85" s="51" t="s">
        <v>3</v>
      </c>
      <c r="D85" s="11">
        <f>'2. Tulud-kulud projektiga'!D85-'3. Tulud-kulud projektita'!D85</f>
        <v>0</v>
      </c>
      <c r="E85" s="11">
        <f>'2. Tulud-kulud projektiga'!E85-'3. Tulud-kulud projektita'!E85</f>
        <v>0</v>
      </c>
      <c r="F85" s="11">
        <f>'2. Tulud-kulud projektiga'!F85-'3. Tulud-kulud projektita'!F85</f>
        <v>2800</v>
      </c>
      <c r="G85" s="11">
        <f>'2. Tulud-kulud projektiga'!G85-'3. Tulud-kulud projektita'!G85</f>
        <v>8400</v>
      </c>
      <c r="H85" s="11">
        <f>'2. Tulud-kulud projektiga'!H85-'3. Tulud-kulud projektita'!H85</f>
        <v>8400</v>
      </c>
      <c r="I85" s="11">
        <f>'2. Tulud-kulud projektiga'!I85-'3. Tulud-kulud projektita'!I85</f>
        <v>8400</v>
      </c>
      <c r="J85" s="11">
        <f>'2. Tulud-kulud projektiga'!J85-'3. Tulud-kulud projektita'!J85</f>
        <v>8400</v>
      </c>
      <c r="K85" s="11">
        <f>'2. Tulud-kulud projektiga'!K85-'3. Tulud-kulud projektita'!K85</f>
        <v>8400</v>
      </c>
      <c r="L85" s="11">
        <f>'2. Tulud-kulud projektiga'!L85-'3. Tulud-kulud projektita'!L85</f>
        <v>8400</v>
      </c>
      <c r="M85" s="11">
        <f>'2. Tulud-kulud projektiga'!M85-'3. Tulud-kulud projektita'!M85</f>
        <v>8400</v>
      </c>
      <c r="N85" s="11">
        <f>'2. Tulud-kulud projektiga'!N85-'3. Tulud-kulud projektita'!N85</f>
        <v>8400</v>
      </c>
      <c r="O85" s="11">
        <f>'2. Tulud-kulud projektiga'!O85-'3. Tulud-kulud projektita'!O85</f>
        <v>8400</v>
      </c>
      <c r="P85" s="11">
        <f>'2. Tulud-kulud projektiga'!P85-'3. Tulud-kulud projektita'!P85</f>
        <v>8400</v>
      </c>
      <c r="Q85" s="11">
        <f>'2. Tulud-kulud projektiga'!Q85-'3. Tulud-kulud projektita'!Q85</f>
        <v>8400</v>
      </c>
      <c r="R85" s="11">
        <f>'2. Tulud-kulud projektiga'!R85-'3. Tulud-kulud projektita'!R85</f>
        <v>8400</v>
      </c>
      <c r="S85" s="16"/>
      <c r="T85" s="16"/>
      <c r="U85" s="17"/>
    </row>
    <row r="86" spans="1:21" x14ac:dyDescent="0.35">
      <c r="A86" s="811"/>
      <c r="B86" s="50" t="str">
        <f>'2. Tulud-kulud projektiga'!B86</f>
        <v>Hooldus (hooned)</v>
      </c>
      <c r="C86" s="51" t="s">
        <v>3</v>
      </c>
      <c r="D86" s="11">
        <f>'2. Tulud-kulud projektiga'!D86-'3. Tulud-kulud projektita'!D86</f>
        <v>0</v>
      </c>
      <c r="E86" s="11">
        <f>'2. Tulud-kulud projektiga'!E86-'3. Tulud-kulud projektita'!E86</f>
        <v>0</v>
      </c>
      <c r="F86" s="11">
        <f>'2. Tulud-kulud projektiga'!F86-'3. Tulud-kulud projektita'!F86</f>
        <v>3040</v>
      </c>
      <c r="G86" s="11">
        <f>'2. Tulud-kulud projektiga'!G86-'3. Tulud-kulud projektita'!G86</f>
        <v>9120</v>
      </c>
      <c r="H86" s="11">
        <f>'2. Tulud-kulud projektiga'!H86-'3. Tulud-kulud projektita'!H86</f>
        <v>9120</v>
      </c>
      <c r="I86" s="11">
        <f>'2. Tulud-kulud projektiga'!I86-'3. Tulud-kulud projektita'!I86</f>
        <v>9120</v>
      </c>
      <c r="J86" s="11">
        <f>'2. Tulud-kulud projektiga'!J86-'3. Tulud-kulud projektita'!J86</f>
        <v>9120</v>
      </c>
      <c r="K86" s="11">
        <f>'2. Tulud-kulud projektiga'!K86-'3. Tulud-kulud projektita'!K86</f>
        <v>9120</v>
      </c>
      <c r="L86" s="11">
        <f>'2. Tulud-kulud projektiga'!L86-'3. Tulud-kulud projektita'!L86</f>
        <v>9120</v>
      </c>
      <c r="M86" s="11">
        <f>'2. Tulud-kulud projektiga'!M86-'3. Tulud-kulud projektita'!M86</f>
        <v>9120</v>
      </c>
      <c r="N86" s="11">
        <f>'2. Tulud-kulud projektiga'!N86-'3. Tulud-kulud projektita'!N86</f>
        <v>9120</v>
      </c>
      <c r="O86" s="11">
        <f>'2. Tulud-kulud projektiga'!O86-'3. Tulud-kulud projektita'!O86</f>
        <v>9120</v>
      </c>
      <c r="P86" s="11">
        <f>'2. Tulud-kulud projektiga'!P86-'3. Tulud-kulud projektita'!P86</f>
        <v>9120</v>
      </c>
      <c r="Q86" s="11">
        <f>'2. Tulud-kulud projektiga'!Q86-'3. Tulud-kulud projektita'!Q86</f>
        <v>9120</v>
      </c>
      <c r="R86" s="11">
        <f>'2. Tulud-kulud projektiga'!R86-'3. Tulud-kulud projektita'!R86</f>
        <v>9120</v>
      </c>
      <c r="S86" s="16"/>
      <c r="T86" s="16"/>
      <c r="U86" s="17"/>
    </row>
    <row r="87" spans="1:21" x14ac:dyDescent="0.35">
      <c r="A87" s="811"/>
      <c r="B87" s="50" t="str">
        <f>'2. Tulud-kulud projektiga'!B87</f>
        <v>Hooldus (territoorium)</v>
      </c>
      <c r="C87" s="51" t="s">
        <v>3</v>
      </c>
      <c r="D87" s="11">
        <f>'2. Tulud-kulud projektiga'!D87-'3. Tulud-kulud projektita'!D87</f>
        <v>0</v>
      </c>
      <c r="E87" s="11">
        <f>'2. Tulud-kulud projektiga'!E87-'3. Tulud-kulud projektita'!E87</f>
        <v>0</v>
      </c>
      <c r="F87" s="11">
        <f>'2. Tulud-kulud projektiga'!F87-'3. Tulud-kulud projektita'!F87</f>
        <v>2155.6666666666665</v>
      </c>
      <c r="G87" s="11">
        <f>'2. Tulud-kulud projektiga'!G87-'3. Tulud-kulud projektita'!G87</f>
        <v>6467</v>
      </c>
      <c r="H87" s="11">
        <f>'2. Tulud-kulud projektiga'!H87-'3. Tulud-kulud projektita'!H87</f>
        <v>6467</v>
      </c>
      <c r="I87" s="11">
        <f>'2. Tulud-kulud projektiga'!I87-'3. Tulud-kulud projektita'!I87</f>
        <v>6467</v>
      </c>
      <c r="J87" s="11">
        <f>'2. Tulud-kulud projektiga'!J87-'3. Tulud-kulud projektita'!J87</f>
        <v>6467</v>
      </c>
      <c r="K87" s="11">
        <f>'2. Tulud-kulud projektiga'!K87-'3. Tulud-kulud projektita'!K87</f>
        <v>6467</v>
      </c>
      <c r="L87" s="11">
        <f>'2. Tulud-kulud projektiga'!L87-'3. Tulud-kulud projektita'!L87</f>
        <v>6467</v>
      </c>
      <c r="M87" s="11">
        <f>'2. Tulud-kulud projektiga'!M87-'3. Tulud-kulud projektita'!M87</f>
        <v>6467</v>
      </c>
      <c r="N87" s="11">
        <f>'2. Tulud-kulud projektiga'!N87-'3. Tulud-kulud projektita'!N87</f>
        <v>6467</v>
      </c>
      <c r="O87" s="11">
        <f>'2. Tulud-kulud projektiga'!O87-'3. Tulud-kulud projektita'!O87</f>
        <v>6467</v>
      </c>
      <c r="P87" s="11">
        <f>'2. Tulud-kulud projektiga'!P87-'3. Tulud-kulud projektita'!P87</f>
        <v>6467</v>
      </c>
      <c r="Q87" s="11">
        <f>'2. Tulud-kulud projektiga'!Q87-'3. Tulud-kulud projektita'!Q87</f>
        <v>6467</v>
      </c>
      <c r="R87" s="11">
        <f>'2. Tulud-kulud projektiga'!R87-'3. Tulud-kulud projektita'!R87</f>
        <v>6467</v>
      </c>
      <c r="S87" s="16"/>
      <c r="T87" s="16"/>
      <c r="U87" s="17"/>
    </row>
    <row r="88" spans="1:21" hidden="1" x14ac:dyDescent="0.35">
      <c r="A88" s="811"/>
      <c r="B88" s="50" t="str">
        <f>'2. Tulud-kulud projektiga'!B88</f>
        <v>Halduskulu 7</v>
      </c>
      <c r="C88" s="51" t="s">
        <v>3</v>
      </c>
      <c r="D88" s="11">
        <f>'2. Tulud-kulud projektiga'!D88-'3. Tulud-kulud projektita'!D88</f>
        <v>0</v>
      </c>
      <c r="E88" s="11">
        <f>'2. Tulud-kulud projektiga'!E88-'3. Tulud-kulud projektita'!E88</f>
        <v>0</v>
      </c>
      <c r="F88" s="11">
        <f>'2. Tulud-kulud projektiga'!F88-'3. Tulud-kulud projektita'!F88</f>
        <v>0</v>
      </c>
      <c r="G88" s="11">
        <f>'2. Tulud-kulud projektiga'!G88-'3. Tulud-kulud projektita'!G88</f>
        <v>0</v>
      </c>
      <c r="H88" s="11">
        <f>'2. Tulud-kulud projektiga'!H88-'3. Tulud-kulud projektita'!H88</f>
        <v>0</v>
      </c>
      <c r="I88" s="11">
        <f>'2. Tulud-kulud projektiga'!I88-'3. Tulud-kulud projektita'!I88</f>
        <v>0</v>
      </c>
      <c r="J88" s="11">
        <f>'2. Tulud-kulud projektiga'!J88-'3. Tulud-kulud projektita'!J88</f>
        <v>0</v>
      </c>
      <c r="K88" s="11">
        <f>'2. Tulud-kulud projektiga'!K88-'3. Tulud-kulud projektita'!K88</f>
        <v>0</v>
      </c>
      <c r="L88" s="11">
        <f>'2. Tulud-kulud projektiga'!L88-'3. Tulud-kulud projektita'!L88</f>
        <v>0</v>
      </c>
      <c r="M88" s="11">
        <f>'2. Tulud-kulud projektiga'!M88-'3. Tulud-kulud projektita'!M88</f>
        <v>0</v>
      </c>
      <c r="N88" s="11">
        <f>'2. Tulud-kulud projektiga'!N88-'3. Tulud-kulud projektita'!N88</f>
        <v>0</v>
      </c>
      <c r="O88" s="11">
        <f>'2. Tulud-kulud projektiga'!O88-'3. Tulud-kulud projektita'!O88</f>
        <v>0</v>
      </c>
      <c r="P88" s="11">
        <f>'2. Tulud-kulud projektiga'!P88-'3. Tulud-kulud projektita'!P88</f>
        <v>0</v>
      </c>
      <c r="Q88" s="11">
        <f>'2. Tulud-kulud projektiga'!Q88-'3. Tulud-kulud projektita'!Q88</f>
        <v>0</v>
      </c>
      <c r="R88" s="11">
        <f>'2. Tulud-kulud projektiga'!R88-'3. Tulud-kulud projektita'!R88</f>
        <v>0</v>
      </c>
      <c r="S88" s="16"/>
      <c r="T88" s="16"/>
      <c r="U88" s="17"/>
    </row>
    <row r="89" spans="1:21" hidden="1" x14ac:dyDescent="0.35">
      <c r="A89" s="811"/>
      <c r="B89" s="50" t="str">
        <f>'2. Tulud-kulud projektiga'!B89</f>
        <v>Halduskulu 8</v>
      </c>
      <c r="C89" s="51" t="s">
        <v>3</v>
      </c>
      <c r="D89" s="11">
        <f>'2. Tulud-kulud projektiga'!D89-'3. Tulud-kulud projektita'!D89</f>
        <v>0</v>
      </c>
      <c r="E89" s="11">
        <f>'2. Tulud-kulud projektiga'!E89-'3. Tulud-kulud projektita'!E89</f>
        <v>0</v>
      </c>
      <c r="F89" s="11">
        <f>'2. Tulud-kulud projektiga'!F89-'3. Tulud-kulud projektita'!F89</f>
        <v>0</v>
      </c>
      <c r="G89" s="11">
        <f>'2. Tulud-kulud projektiga'!G89-'3. Tulud-kulud projektita'!G89</f>
        <v>0</v>
      </c>
      <c r="H89" s="11">
        <f>'2. Tulud-kulud projektiga'!H89-'3. Tulud-kulud projektita'!H89</f>
        <v>0</v>
      </c>
      <c r="I89" s="11">
        <f>'2. Tulud-kulud projektiga'!I89-'3. Tulud-kulud projektita'!I89</f>
        <v>0</v>
      </c>
      <c r="J89" s="11">
        <f>'2. Tulud-kulud projektiga'!J89-'3. Tulud-kulud projektita'!J89</f>
        <v>0</v>
      </c>
      <c r="K89" s="11">
        <f>'2. Tulud-kulud projektiga'!K89-'3. Tulud-kulud projektita'!K89</f>
        <v>0</v>
      </c>
      <c r="L89" s="11">
        <f>'2. Tulud-kulud projektiga'!L89-'3. Tulud-kulud projektita'!L89</f>
        <v>0</v>
      </c>
      <c r="M89" s="11">
        <f>'2. Tulud-kulud projektiga'!M89-'3. Tulud-kulud projektita'!M89</f>
        <v>0</v>
      </c>
      <c r="N89" s="11">
        <f>'2. Tulud-kulud projektiga'!N89-'3. Tulud-kulud projektita'!N89</f>
        <v>0</v>
      </c>
      <c r="O89" s="11">
        <f>'2. Tulud-kulud projektiga'!O89-'3. Tulud-kulud projektita'!O89</f>
        <v>0</v>
      </c>
      <c r="P89" s="11">
        <f>'2. Tulud-kulud projektiga'!P89-'3. Tulud-kulud projektita'!P89</f>
        <v>0</v>
      </c>
      <c r="Q89" s="11">
        <f>'2. Tulud-kulud projektiga'!Q89-'3. Tulud-kulud projektita'!Q89</f>
        <v>0</v>
      </c>
      <c r="R89" s="11">
        <f>'2. Tulud-kulud projektiga'!R89-'3. Tulud-kulud projektita'!R89</f>
        <v>0</v>
      </c>
      <c r="S89" s="16"/>
      <c r="T89" s="16"/>
      <c r="U89" s="17"/>
    </row>
    <row r="90" spans="1:21" hidden="1" x14ac:dyDescent="0.35">
      <c r="A90" s="811"/>
      <c r="B90" s="50" t="str">
        <f>'2. Tulud-kulud projektiga'!B90</f>
        <v>Halduskulu 9</v>
      </c>
      <c r="C90" s="51" t="s">
        <v>3</v>
      </c>
      <c r="D90" s="11">
        <f>'2. Tulud-kulud projektiga'!D90-'3. Tulud-kulud projektita'!D90</f>
        <v>0</v>
      </c>
      <c r="E90" s="11">
        <f>'2. Tulud-kulud projektiga'!E90-'3. Tulud-kulud projektita'!E90</f>
        <v>0</v>
      </c>
      <c r="F90" s="11">
        <f>'2. Tulud-kulud projektiga'!F90-'3. Tulud-kulud projektita'!F90</f>
        <v>0</v>
      </c>
      <c r="G90" s="11">
        <f>'2. Tulud-kulud projektiga'!G90-'3. Tulud-kulud projektita'!G90</f>
        <v>0</v>
      </c>
      <c r="H90" s="11">
        <f>'2. Tulud-kulud projektiga'!H90-'3. Tulud-kulud projektita'!H90</f>
        <v>0</v>
      </c>
      <c r="I90" s="11">
        <f>'2. Tulud-kulud projektiga'!I90-'3. Tulud-kulud projektita'!I90</f>
        <v>0</v>
      </c>
      <c r="J90" s="11">
        <f>'2. Tulud-kulud projektiga'!J90-'3. Tulud-kulud projektita'!J90</f>
        <v>0</v>
      </c>
      <c r="K90" s="11">
        <f>'2. Tulud-kulud projektiga'!K90-'3. Tulud-kulud projektita'!K90</f>
        <v>0</v>
      </c>
      <c r="L90" s="11">
        <f>'2. Tulud-kulud projektiga'!L90-'3. Tulud-kulud projektita'!L90</f>
        <v>0</v>
      </c>
      <c r="M90" s="11">
        <f>'2. Tulud-kulud projektiga'!M90-'3. Tulud-kulud projektita'!M90</f>
        <v>0</v>
      </c>
      <c r="N90" s="11">
        <f>'2. Tulud-kulud projektiga'!N90-'3. Tulud-kulud projektita'!N90</f>
        <v>0</v>
      </c>
      <c r="O90" s="11">
        <f>'2. Tulud-kulud projektiga'!O90-'3. Tulud-kulud projektita'!O90</f>
        <v>0</v>
      </c>
      <c r="P90" s="11">
        <f>'2. Tulud-kulud projektiga'!P90-'3. Tulud-kulud projektita'!P90</f>
        <v>0</v>
      </c>
      <c r="Q90" s="11">
        <f>'2. Tulud-kulud projektiga'!Q90-'3. Tulud-kulud projektita'!Q90</f>
        <v>0</v>
      </c>
      <c r="R90" s="11">
        <f>'2. Tulud-kulud projektiga'!R90-'3. Tulud-kulud projektita'!R90</f>
        <v>0</v>
      </c>
      <c r="S90" s="16"/>
      <c r="T90" s="16"/>
      <c r="U90" s="17"/>
    </row>
    <row r="91" spans="1:21" hidden="1" x14ac:dyDescent="0.35">
      <c r="A91" s="811"/>
      <c r="B91" s="50" t="str">
        <f>'2. Tulud-kulud projektiga'!B91</f>
        <v>Halduskulu 10</v>
      </c>
      <c r="C91" s="51" t="s">
        <v>3</v>
      </c>
      <c r="D91" s="11">
        <f>'2. Tulud-kulud projektiga'!D91-'3. Tulud-kulud projektita'!D91</f>
        <v>0</v>
      </c>
      <c r="E91" s="11">
        <f>'2. Tulud-kulud projektiga'!E91-'3. Tulud-kulud projektita'!E91</f>
        <v>0</v>
      </c>
      <c r="F91" s="11">
        <f>'2. Tulud-kulud projektiga'!F91-'3. Tulud-kulud projektita'!F91</f>
        <v>0</v>
      </c>
      <c r="G91" s="11">
        <f>'2. Tulud-kulud projektiga'!G91-'3. Tulud-kulud projektita'!G91</f>
        <v>0</v>
      </c>
      <c r="H91" s="11">
        <f>'2. Tulud-kulud projektiga'!H91-'3. Tulud-kulud projektita'!H91</f>
        <v>0</v>
      </c>
      <c r="I91" s="11">
        <f>'2. Tulud-kulud projektiga'!I91-'3. Tulud-kulud projektita'!I91</f>
        <v>0</v>
      </c>
      <c r="J91" s="11">
        <f>'2. Tulud-kulud projektiga'!J91-'3. Tulud-kulud projektita'!J91</f>
        <v>0</v>
      </c>
      <c r="K91" s="11">
        <f>'2. Tulud-kulud projektiga'!K91-'3. Tulud-kulud projektita'!K91</f>
        <v>0</v>
      </c>
      <c r="L91" s="11">
        <f>'2. Tulud-kulud projektiga'!L91-'3. Tulud-kulud projektita'!L91</f>
        <v>0</v>
      </c>
      <c r="M91" s="11">
        <f>'2. Tulud-kulud projektiga'!M91-'3. Tulud-kulud projektita'!M91</f>
        <v>0</v>
      </c>
      <c r="N91" s="11">
        <f>'2. Tulud-kulud projektiga'!N91-'3. Tulud-kulud projektita'!N91</f>
        <v>0</v>
      </c>
      <c r="O91" s="11">
        <f>'2. Tulud-kulud projektiga'!O91-'3. Tulud-kulud projektita'!O91</f>
        <v>0</v>
      </c>
      <c r="P91" s="11">
        <f>'2. Tulud-kulud projektiga'!P91-'3. Tulud-kulud projektita'!P91</f>
        <v>0</v>
      </c>
      <c r="Q91" s="11">
        <f>'2. Tulud-kulud projektiga'!Q91-'3. Tulud-kulud projektita'!Q91</f>
        <v>0</v>
      </c>
      <c r="R91" s="11">
        <f>'2. Tulud-kulud projektiga'!R91-'3. Tulud-kulud projektita'!R91</f>
        <v>0</v>
      </c>
      <c r="S91" s="16"/>
      <c r="T91" s="16"/>
      <c r="U91" s="17"/>
    </row>
    <row r="92" spans="1:21" x14ac:dyDescent="0.35">
      <c r="A92" s="801" t="str">
        <f>'2. Tulud-kulud projektiga'!A92:B92</f>
        <v>Halduskulud kokku</v>
      </c>
      <c r="B92" s="802"/>
      <c r="C92" s="49"/>
      <c r="D92" s="59">
        <f>'2. Tulud-kulud projektiga'!D92-'3. Tulud-kulud projektita'!D92</f>
        <v>0</v>
      </c>
      <c r="E92" s="59">
        <f>'2. Tulud-kulud projektiga'!E92-'3. Tulud-kulud projektita'!E92</f>
        <v>0</v>
      </c>
      <c r="F92" s="59">
        <f>'2. Tulud-kulud projektiga'!F92-'3. Tulud-kulud projektita'!F92</f>
        <v>10600.073038</v>
      </c>
      <c r="G92" s="59">
        <f>'2. Tulud-kulud projektiga'!G92-'3. Tulud-kulud projektita'!G92</f>
        <v>31800.219114</v>
      </c>
      <c r="H92" s="59">
        <f>'2. Tulud-kulud projektiga'!H92-'3. Tulud-kulud projektita'!H92</f>
        <v>31800.219114</v>
      </c>
      <c r="I92" s="59">
        <f>'2. Tulud-kulud projektiga'!I92-'3. Tulud-kulud projektita'!I92</f>
        <v>32061.331368000003</v>
      </c>
      <c r="J92" s="59">
        <f>'2. Tulud-kulud projektiga'!J92-'3. Tulud-kulud projektita'!J92</f>
        <v>32061.331368000003</v>
      </c>
      <c r="K92" s="59">
        <f>'2. Tulud-kulud projektiga'!K92-'3. Tulud-kulud projektita'!K92</f>
        <v>32061.331368000003</v>
      </c>
      <c r="L92" s="59">
        <f>'2. Tulud-kulud projektiga'!L92-'3. Tulud-kulud projektita'!L92</f>
        <v>32061.331368000003</v>
      </c>
      <c r="M92" s="59">
        <f>'2. Tulud-kulud projektiga'!M92-'3. Tulud-kulud projektita'!M92</f>
        <v>32322.443621999999</v>
      </c>
      <c r="N92" s="59">
        <f>'2. Tulud-kulud projektiga'!N92-'3. Tulud-kulud projektita'!N92</f>
        <v>32322.443621999999</v>
      </c>
      <c r="O92" s="59">
        <f>'2. Tulud-kulud projektiga'!O92-'3. Tulud-kulud projektita'!O92</f>
        <v>32322.443621999999</v>
      </c>
      <c r="P92" s="59">
        <f>'2. Tulud-kulud projektiga'!P92-'3. Tulud-kulud projektita'!P92</f>
        <v>32322.443621999999</v>
      </c>
      <c r="Q92" s="59">
        <f>'2. Tulud-kulud projektiga'!Q92-'3. Tulud-kulud projektita'!Q92</f>
        <v>32322.443621999999</v>
      </c>
      <c r="R92" s="59">
        <f>'2. Tulud-kulud projektiga'!R92-'3. Tulud-kulud projektita'!R92</f>
        <v>32322.443621999999</v>
      </c>
      <c r="S92" s="16"/>
      <c r="T92" s="16"/>
      <c r="U92" s="17"/>
    </row>
    <row r="93" spans="1:21" ht="4.5" customHeight="1" x14ac:dyDescent="0.35">
      <c r="A93" s="4"/>
      <c r="B93" s="25"/>
      <c r="C93" s="9"/>
      <c r="D93" s="18"/>
      <c r="E93" s="18"/>
      <c r="F93" s="18"/>
      <c r="G93" s="18"/>
      <c r="H93" s="18"/>
      <c r="I93" s="18"/>
      <c r="J93" s="18"/>
      <c r="K93" s="18"/>
      <c r="L93" s="18"/>
      <c r="M93" s="18"/>
      <c r="N93" s="18"/>
      <c r="O93" s="18"/>
      <c r="P93" s="18"/>
      <c r="Q93" s="18"/>
      <c r="R93" s="18"/>
      <c r="S93" s="16"/>
      <c r="T93" s="16"/>
      <c r="U93" s="17"/>
    </row>
    <row r="94" spans="1:21" x14ac:dyDescent="0.35">
      <c r="A94" s="812" t="str">
        <f>'2. Tulud-kulud projektiga'!A94:A103</f>
        <v>Turunduskulud</v>
      </c>
      <c r="B94" s="50" t="str">
        <f>'2. Tulud-kulud projektiga'!B94</f>
        <v>Turundus</v>
      </c>
      <c r="C94" s="51" t="s">
        <v>3</v>
      </c>
      <c r="D94" s="11">
        <f>'2. Tulud-kulud projektiga'!D94-'3. Tulud-kulud projektita'!D94</f>
        <v>0</v>
      </c>
      <c r="E94" s="11">
        <f>'2. Tulud-kulud projektiga'!E94-'3. Tulud-kulud projektita'!E94</f>
        <v>0</v>
      </c>
      <c r="F94" s="11">
        <f>'2. Tulud-kulud projektiga'!F94-'3. Tulud-kulud projektita'!F94</f>
        <v>12000</v>
      </c>
      <c r="G94" s="11">
        <f>'2. Tulud-kulud projektiga'!G94-'3. Tulud-kulud projektita'!G94</f>
        <v>36000</v>
      </c>
      <c r="H94" s="11">
        <f>'2. Tulud-kulud projektiga'!H94-'3. Tulud-kulud projektita'!H94</f>
        <v>36000</v>
      </c>
      <c r="I94" s="11">
        <f>'2. Tulud-kulud projektiga'!I94-'3. Tulud-kulud projektita'!I94</f>
        <v>36000</v>
      </c>
      <c r="J94" s="11">
        <f>'2. Tulud-kulud projektiga'!J94-'3. Tulud-kulud projektita'!J94</f>
        <v>36000</v>
      </c>
      <c r="K94" s="11">
        <f>'2. Tulud-kulud projektiga'!K94-'3. Tulud-kulud projektita'!K94</f>
        <v>36000</v>
      </c>
      <c r="L94" s="11">
        <f>'2. Tulud-kulud projektiga'!L94-'3. Tulud-kulud projektita'!L94</f>
        <v>36000</v>
      </c>
      <c r="M94" s="11">
        <f>'2. Tulud-kulud projektiga'!M94-'3. Tulud-kulud projektita'!M94</f>
        <v>36000</v>
      </c>
      <c r="N94" s="11">
        <f>'2. Tulud-kulud projektiga'!N94-'3. Tulud-kulud projektita'!N94</f>
        <v>36000</v>
      </c>
      <c r="O94" s="11">
        <f>'2. Tulud-kulud projektiga'!O94-'3. Tulud-kulud projektita'!O94</f>
        <v>36000</v>
      </c>
      <c r="P94" s="11">
        <f>'2. Tulud-kulud projektiga'!P94-'3. Tulud-kulud projektita'!P94</f>
        <v>36000</v>
      </c>
      <c r="Q94" s="11">
        <f>'2. Tulud-kulud projektiga'!Q94-'3. Tulud-kulud projektita'!Q94</f>
        <v>36000</v>
      </c>
      <c r="R94" s="11">
        <f>'2. Tulud-kulud projektiga'!R94-'3. Tulud-kulud projektita'!R94</f>
        <v>36000</v>
      </c>
      <c r="S94" s="16"/>
      <c r="T94" s="16"/>
      <c r="U94" s="17"/>
    </row>
    <row r="95" spans="1:21" hidden="1" x14ac:dyDescent="0.35">
      <c r="A95" s="813"/>
      <c r="B95" s="50">
        <f>'2. Tulud-kulud projektiga'!B95</f>
        <v>0</v>
      </c>
      <c r="C95" s="51" t="s">
        <v>3</v>
      </c>
      <c r="D95" s="11">
        <f>'2. Tulud-kulud projektiga'!D95-'3. Tulud-kulud projektita'!D95</f>
        <v>0</v>
      </c>
      <c r="E95" s="11">
        <f>'2. Tulud-kulud projektiga'!E95-'3. Tulud-kulud projektita'!E95</f>
        <v>0</v>
      </c>
      <c r="F95" s="11">
        <f>'2. Tulud-kulud projektiga'!F95-'3. Tulud-kulud projektita'!F95</f>
        <v>0</v>
      </c>
      <c r="G95" s="11">
        <f>'2. Tulud-kulud projektiga'!G95-'3. Tulud-kulud projektita'!G95</f>
        <v>0</v>
      </c>
      <c r="H95" s="11">
        <f>'2. Tulud-kulud projektiga'!H95-'3. Tulud-kulud projektita'!H95</f>
        <v>0</v>
      </c>
      <c r="I95" s="11">
        <f>'2. Tulud-kulud projektiga'!I95-'3. Tulud-kulud projektita'!I95</f>
        <v>0</v>
      </c>
      <c r="J95" s="11">
        <f>'2. Tulud-kulud projektiga'!J95-'3. Tulud-kulud projektita'!J95</f>
        <v>0</v>
      </c>
      <c r="K95" s="11">
        <f>'2. Tulud-kulud projektiga'!K95-'3. Tulud-kulud projektita'!K95</f>
        <v>0</v>
      </c>
      <c r="L95" s="11">
        <f>'2. Tulud-kulud projektiga'!L95-'3. Tulud-kulud projektita'!L95</f>
        <v>0</v>
      </c>
      <c r="M95" s="11">
        <f>'2. Tulud-kulud projektiga'!M95-'3. Tulud-kulud projektita'!M95</f>
        <v>0</v>
      </c>
      <c r="N95" s="11">
        <f>'2. Tulud-kulud projektiga'!N95-'3. Tulud-kulud projektita'!N95</f>
        <v>0</v>
      </c>
      <c r="O95" s="11">
        <f>'2. Tulud-kulud projektiga'!O95-'3. Tulud-kulud projektita'!O95</f>
        <v>0</v>
      </c>
      <c r="P95" s="11">
        <f>'2. Tulud-kulud projektiga'!P95-'3. Tulud-kulud projektita'!P95</f>
        <v>0</v>
      </c>
      <c r="Q95" s="11">
        <f>'2. Tulud-kulud projektiga'!Q95-'3. Tulud-kulud projektita'!Q95</f>
        <v>0</v>
      </c>
      <c r="R95" s="11">
        <f>'2. Tulud-kulud projektiga'!R95-'3. Tulud-kulud projektita'!R95</f>
        <v>0</v>
      </c>
      <c r="S95" s="16"/>
      <c r="T95" s="16"/>
      <c r="U95" s="17"/>
    </row>
    <row r="96" spans="1:21" hidden="1" x14ac:dyDescent="0.35">
      <c r="A96" s="813"/>
      <c r="B96" s="50">
        <f>'2. Tulud-kulud projektiga'!B96</f>
        <v>0</v>
      </c>
      <c r="C96" s="51" t="s">
        <v>3</v>
      </c>
      <c r="D96" s="11">
        <f>'2. Tulud-kulud projektiga'!D96-'3. Tulud-kulud projektita'!D96</f>
        <v>0</v>
      </c>
      <c r="E96" s="11">
        <f>'2. Tulud-kulud projektiga'!E96-'3. Tulud-kulud projektita'!E96</f>
        <v>0</v>
      </c>
      <c r="F96" s="11">
        <f>'2. Tulud-kulud projektiga'!F96-'3. Tulud-kulud projektita'!F96</f>
        <v>0</v>
      </c>
      <c r="G96" s="11">
        <f>'2. Tulud-kulud projektiga'!G96-'3. Tulud-kulud projektita'!G96</f>
        <v>0</v>
      </c>
      <c r="H96" s="11">
        <f>'2. Tulud-kulud projektiga'!H96-'3. Tulud-kulud projektita'!H96</f>
        <v>0</v>
      </c>
      <c r="I96" s="11">
        <f>'2. Tulud-kulud projektiga'!I96-'3. Tulud-kulud projektita'!I96</f>
        <v>0</v>
      </c>
      <c r="J96" s="11">
        <f>'2. Tulud-kulud projektiga'!J96-'3. Tulud-kulud projektita'!J96</f>
        <v>0</v>
      </c>
      <c r="K96" s="11">
        <f>'2. Tulud-kulud projektiga'!K96-'3. Tulud-kulud projektita'!K96</f>
        <v>0</v>
      </c>
      <c r="L96" s="11">
        <f>'2. Tulud-kulud projektiga'!L96-'3. Tulud-kulud projektita'!L96</f>
        <v>0</v>
      </c>
      <c r="M96" s="11">
        <f>'2. Tulud-kulud projektiga'!M96-'3. Tulud-kulud projektita'!M96</f>
        <v>0</v>
      </c>
      <c r="N96" s="11">
        <f>'2. Tulud-kulud projektiga'!N96-'3. Tulud-kulud projektita'!N96</f>
        <v>0</v>
      </c>
      <c r="O96" s="11">
        <f>'2. Tulud-kulud projektiga'!O96-'3. Tulud-kulud projektita'!O96</f>
        <v>0</v>
      </c>
      <c r="P96" s="11">
        <f>'2. Tulud-kulud projektiga'!P96-'3. Tulud-kulud projektita'!P96</f>
        <v>0</v>
      </c>
      <c r="Q96" s="11">
        <f>'2. Tulud-kulud projektiga'!Q96-'3. Tulud-kulud projektita'!Q96</f>
        <v>0</v>
      </c>
      <c r="R96" s="11">
        <f>'2. Tulud-kulud projektiga'!R96-'3. Tulud-kulud projektita'!R96</f>
        <v>0</v>
      </c>
      <c r="S96" s="16"/>
      <c r="T96" s="16"/>
      <c r="U96" s="17"/>
    </row>
    <row r="97" spans="1:21" hidden="1" x14ac:dyDescent="0.35">
      <c r="A97" s="813"/>
      <c r="B97" s="50">
        <f>'2. Tulud-kulud projektiga'!B97</f>
        <v>0</v>
      </c>
      <c r="C97" s="51" t="s">
        <v>3</v>
      </c>
      <c r="D97" s="11">
        <f>'2. Tulud-kulud projektiga'!D97-'3. Tulud-kulud projektita'!D97</f>
        <v>0</v>
      </c>
      <c r="E97" s="11">
        <f>'2. Tulud-kulud projektiga'!E97-'3. Tulud-kulud projektita'!E97</f>
        <v>0</v>
      </c>
      <c r="F97" s="11">
        <f>'2. Tulud-kulud projektiga'!F97-'3. Tulud-kulud projektita'!F97</f>
        <v>0</v>
      </c>
      <c r="G97" s="11">
        <f>'2. Tulud-kulud projektiga'!G97-'3. Tulud-kulud projektita'!G97</f>
        <v>0</v>
      </c>
      <c r="H97" s="11">
        <f>'2. Tulud-kulud projektiga'!H97-'3. Tulud-kulud projektita'!H97</f>
        <v>0</v>
      </c>
      <c r="I97" s="11">
        <f>'2. Tulud-kulud projektiga'!I97-'3. Tulud-kulud projektita'!I97</f>
        <v>0</v>
      </c>
      <c r="J97" s="11">
        <f>'2. Tulud-kulud projektiga'!J97-'3. Tulud-kulud projektita'!J97</f>
        <v>0</v>
      </c>
      <c r="K97" s="11">
        <f>'2. Tulud-kulud projektiga'!K97-'3. Tulud-kulud projektita'!K97</f>
        <v>0</v>
      </c>
      <c r="L97" s="11">
        <f>'2. Tulud-kulud projektiga'!L97-'3. Tulud-kulud projektita'!L97</f>
        <v>0</v>
      </c>
      <c r="M97" s="11">
        <f>'2. Tulud-kulud projektiga'!M97-'3. Tulud-kulud projektita'!M97</f>
        <v>0</v>
      </c>
      <c r="N97" s="11">
        <f>'2. Tulud-kulud projektiga'!N97-'3. Tulud-kulud projektita'!N97</f>
        <v>0</v>
      </c>
      <c r="O97" s="11">
        <f>'2. Tulud-kulud projektiga'!O97-'3. Tulud-kulud projektita'!O97</f>
        <v>0</v>
      </c>
      <c r="P97" s="11">
        <f>'2. Tulud-kulud projektiga'!P97-'3. Tulud-kulud projektita'!P97</f>
        <v>0</v>
      </c>
      <c r="Q97" s="11">
        <f>'2. Tulud-kulud projektiga'!Q97-'3. Tulud-kulud projektita'!Q97</f>
        <v>0</v>
      </c>
      <c r="R97" s="11">
        <f>'2. Tulud-kulud projektiga'!R97-'3. Tulud-kulud projektita'!R97</f>
        <v>0</v>
      </c>
      <c r="S97" s="16"/>
      <c r="T97" s="16"/>
      <c r="U97" s="17"/>
    </row>
    <row r="98" spans="1:21" hidden="1" x14ac:dyDescent="0.35">
      <c r="A98" s="813"/>
      <c r="B98" s="50">
        <f>'2. Tulud-kulud projektiga'!B98</f>
        <v>0</v>
      </c>
      <c r="C98" s="51" t="s">
        <v>3</v>
      </c>
      <c r="D98" s="11">
        <f>'2. Tulud-kulud projektiga'!D98-'3. Tulud-kulud projektita'!D98</f>
        <v>0</v>
      </c>
      <c r="E98" s="11">
        <f>'2. Tulud-kulud projektiga'!E98-'3. Tulud-kulud projektita'!E98</f>
        <v>0</v>
      </c>
      <c r="F98" s="11">
        <f>'2. Tulud-kulud projektiga'!F98-'3. Tulud-kulud projektita'!F98</f>
        <v>0</v>
      </c>
      <c r="G98" s="11">
        <f>'2. Tulud-kulud projektiga'!G98-'3. Tulud-kulud projektita'!G98</f>
        <v>0</v>
      </c>
      <c r="H98" s="11">
        <f>'2. Tulud-kulud projektiga'!H98-'3. Tulud-kulud projektita'!H98</f>
        <v>0</v>
      </c>
      <c r="I98" s="11">
        <f>'2. Tulud-kulud projektiga'!I98-'3. Tulud-kulud projektita'!I98</f>
        <v>0</v>
      </c>
      <c r="J98" s="11">
        <f>'2. Tulud-kulud projektiga'!J98-'3. Tulud-kulud projektita'!J98</f>
        <v>0</v>
      </c>
      <c r="K98" s="11">
        <f>'2. Tulud-kulud projektiga'!K98-'3. Tulud-kulud projektita'!K98</f>
        <v>0</v>
      </c>
      <c r="L98" s="11">
        <f>'2. Tulud-kulud projektiga'!L98-'3. Tulud-kulud projektita'!L98</f>
        <v>0</v>
      </c>
      <c r="M98" s="11">
        <f>'2. Tulud-kulud projektiga'!M98-'3. Tulud-kulud projektita'!M98</f>
        <v>0</v>
      </c>
      <c r="N98" s="11">
        <f>'2. Tulud-kulud projektiga'!N98-'3. Tulud-kulud projektita'!N98</f>
        <v>0</v>
      </c>
      <c r="O98" s="11">
        <f>'2. Tulud-kulud projektiga'!O98-'3. Tulud-kulud projektita'!O98</f>
        <v>0</v>
      </c>
      <c r="P98" s="11">
        <f>'2. Tulud-kulud projektiga'!P98-'3. Tulud-kulud projektita'!P98</f>
        <v>0</v>
      </c>
      <c r="Q98" s="11">
        <f>'2. Tulud-kulud projektiga'!Q98-'3. Tulud-kulud projektita'!Q98</f>
        <v>0</v>
      </c>
      <c r="R98" s="11">
        <f>'2. Tulud-kulud projektiga'!R98-'3. Tulud-kulud projektita'!R98</f>
        <v>0</v>
      </c>
      <c r="S98" s="16"/>
      <c r="T98" s="16"/>
      <c r="U98" s="17"/>
    </row>
    <row r="99" spans="1:21" hidden="1" outlineLevel="1" x14ac:dyDescent="0.35">
      <c r="A99" s="813"/>
      <c r="B99" s="50" t="str">
        <f>'2. Tulud-kulud projektiga'!B99</f>
        <v>Kulu 6</v>
      </c>
      <c r="C99" s="51" t="s">
        <v>3</v>
      </c>
      <c r="D99" s="11">
        <f>'2. Tulud-kulud projektiga'!D99-'3. Tulud-kulud projektita'!D99</f>
        <v>0</v>
      </c>
      <c r="E99" s="11">
        <f>'2. Tulud-kulud projektiga'!E99-'3. Tulud-kulud projektita'!E99</f>
        <v>0</v>
      </c>
      <c r="F99" s="11">
        <f>'2. Tulud-kulud projektiga'!F99-'3. Tulud-kulud projektita'!F99</f>
        <v>0</v>
      </c>
      <c r="G99" s="11">
        <f>'2. Tulud-kulud projektiga'!G99-'3. Tulud-kulud projektita'!G99</f>
        <v>0</v>
      </c>
      <c r="H99" s="11">
        <f>'2. Tulud-kulud projektiga'!H99-'3. Tulud-kulud projektita'!H99</f>
        <v>0</v>
      </c>
      <c r="I99" s="11">
        <f>'2. Tulud-kulud projektiga'!I99-'3. Tulud-kulud projektita'!I99</f>
        <v>0</v>
      </c>
      <c r="J99" s="11">
        <f>'2. Tulud-kulud projektiga'!J99-'3. Tulud-kulud projektita'!J99</f>
        <v>0</v>
      </c>
      <c r="K99" s="11">
        <f>'2. Tulud-kulud projektiga'!K99-'3. Tulud-kulud projektita'!K99</f>
        <v>0</v>
      </c>
      <c r="L99" s="11">
        <f>'2. Tulud-kulud projektiga'!L99-'3. Tulud-kulud projektita'!L99</f>
        <v>0</v>
      </c>
      <c r="M99" s="11">
        <f>'2. Tulud-kulud projektiga'!M99-'3. Tulud-kulud projektita'!M99</f>
        <v>0</v>
      </c>
      <c r="N99" s="11">
        <f>'2. Tulud-kulud projektiga'!N99-'3. Tulud-kulud projektita'!N99</f>
        <v>0</v>
      </c>
      <c r="O99" s="11">
        <f>'2. Tulud-kulud projektiga'!O99-'3. Tulud-kulud projektita'!O99</f>
        <v>0</v>
      </c>
      <c r="P99" s="11">
        <f>'2. Tulud-kulud projektiga'!P99-'3. Tulud-kulud projektita'!P99</f>
        <v>0</v>
      </c>
      <c r="Q99" s="11">
        <f>'2. Tulud-kulud projektiga'!Q99-'3. Tulud-kulud projektita'!Q99</f>
        <v>0</v>
      </c>
      <c r="R99" s="11">
        <f>'2. Tulud-kulud projektiga'!R99-'3. Tulud-kulud projektita'!R99</f>
        <v>0</v>
      </c>
      <c r="S99" s="16"/>
      <c r="T99" s="16"/>
      <c r="U99" s="17"/>
    </row>
    <row r="100" spans="1:21" hidden="1" outlineLevel="1" x14ac:dyDescent="0.35">
      <c r="A100" s="813"/>
      <c r="B100" s="50" t="str">
        <f>'2. Tulud-kulud projektiga'!B100</f>
        <v>Kulu 7</v>
      </c>
      <c r="C100" s="51" t="s">
        <v>3</v>
      </c>
      <c r="D100" s="11">
        <f>'2. Tulud-kulud projektiga'!D100-'3. Tulud-kulud projektita'!D100</f>
        <v>0</v>
      </c>
      <c r="E100" s="11">
        <f>'2. Tulud-kulud projektiga'!E100-'3. Tulud-kulud projektita'!E100</f>
        <v>0</v>
      </c>
      <c r="F100" s="11">
        <f>'2. Tulud-kulud projektiga'!F100-'3. Tulud-kulud projektita'!F100</f>
        <v>0</v>
      </c>
      <c r="G100" s="11">
        <f>'2. Tulud-kulud projektiga'!G100-'3. Tulud-kulud projektita'!G100</f>
        <v>0</v>
      </c>
      <c r="H100" s="11">
        <f>'2. Tulud-kulud projektiga'!H100-'3. Tulud-kulud projektita'!H100</f>
        <v>0</v>
      </c>
      <c r="I100" s="11">
        <f>'2. Tulud-kulud projektiga'!I100-'3. Tulud-kulud projektita'!I100</f>
        <v>0</v>
      </c>
      <c r="J100" s="11">
        <f>'2. Tulud-kulud projektiga'!J100-'3. Tulud-kulud projektita'!J100</f>
        <v>0</v>
      </c>
      <c r="K100" s="11">
        <f>'2. Tulud-kulud projektiga'!K100-'3. Tulud-kulud projektita'!K100</f>
        <v>0</v>
      </c>
      <c r="L100" s="11">
        <f>'2. Tulud-kulud projektiga'!L100-'3. Tulud-kulud projektita'!L100</f>
        <v>0</v>
      </c>
      <c r="M100" s="11">
        <f>'2. Tulud-kulud projektiga'!M100-'3. Tulud-kulud projektita'!M100</f>
        <v>0</v>
      </c>
      <c r="N100" s="11">
        <f>'2. Tulud-kulud projektiga'!N100-'3. Tulud-kulud projektita'!N100</f>
        <v>0</v>
      </c>
      <c r="O100" s="11">
        <f>'2. Tulud-kulud projektiga'!O100-'3. Tulud-kulud projektita'!O100</f>
        <v>0</v>
      </c>
      <c r="P100" s="11">
        <f>'2. Tulud-kulud projektiga'!P100-'3. Tulud-kulud projektita'!P100</f>
        <v>0</v>
      </c>
      <c r="Q100" s="11">
        <f>'2. Tulud-kulud projektiga'!Q100-'3. Tulud-kulud projektita'!Q100</f>
        <v>0</v>
      </c>
      <c r="R100" s="11">
        <f>'2. Tulud-kulud projektiga'!R100-'3. Tulud-kulud projektita'!R100</f>
        <v>0</v>
      </c>
      <c r="S100" s="16"/>
      <c r="T100" s="16"/>
      <c r="U100" s="17"/>
    </row>
    <row r="101" spans="1:21" hidden="1" outlineLevel="1" x14ac:dyDescent="0.35">
      <c r="A101" s="813"/>
      <c r="B101" s="50" t="str">
        <f>'2. Tulud-kulud projektiga'!B101</f>
        <v>Kulu 8</v>
      </c>
      <c r="C101" s="51" t="s">
        <v>3</v>
      </c>
      <c r="D101" s="11">
        <f>'2. Tulud-kulud projektiga'!D101-'3. Tulud-kulud projektita'!D101</f>
        <v>0</v>
      </c>
      <c r="E101" s="11">
        <f>'2. Tulud-kulud projektiga'!E101-'3. Tulud-kulud projektita'!E101</f>
        <v>0</v>
      </c>
      <c r="F101" s="11">
        <f>'2. Tulud-kulud projektiga'!F101-'3. Tulud-kulud projektita'!F101</f>
        <v>0</v>
      </c>
      <c r="G101" s="11">
        <f>'2. Tulud-kulud projektiga'!G101-'3. Tulud-kulud projektita'!G101</f>
        <v>0</v>
      </c>
      <c r="H101" s="11">
        <f>'2. Tulud-kulud projektiga'!H101-'3. Tulud-kulud projektita'!H101</f>
        <v>0</v>
      </c>
      <c r="I101" s="11">
        <f>'2. Tulud-kulud projektiga'!I101-'3. Tulud-kulud projektita'!I101</f>
        <v>0</v>
      </c>
      <c r="J101" s="11">
        <f>'2. Tulud-kulud projektiga'!J101-'3. Tulud-kulud projektita'!J101</f>
        <v>0</v>
      </c>
      <c r="K101" s="11">
        <f>'2. Tulud-kulud projektiga'!K101-'3. Tulud-kulud projektita'!K101</f>
        <v>0</v>
      </c>
      <c r="L101" s="11">
        <f>'2. Tulud-kulud projektiga'!L101-'3. Tulud-kulud projektita'!L101</f>
        <v>0</v>
      </c>
      <c r="M101" s="11">
        <f>'2. Tulud-kulud projektiga'!M101-'3. Tulud-kulud projektita'!M101</f>
        <v>0</v>
      </c>
      <c r="N101" s="11">
        <f>'2. Tulud-kulud projektiga'!N101-'3. Tulud-kulud projektita'!N101</f>
        <v>0</v>
      </c>
      <c r="O101" s="11">
        <f>'2. Tulud-kulud projektiga'!O101-'3. Tulud-kulud projektita'!O101</f>
        <v>0</v>
      </c>
      <c r="P101" s="11">
        <f>'2. Tulud-kulud projektiga'!P101-'3. Tulud-kulud projektita'!P101</f>
        <v>0</v>
      </c>
      <c r="Q101" s="11">
        <f>'2. Tulud-kulud projektiga'!Q101-'3. Tulud-kulud projektita'!Q101</f>
        <v>0</v>
      </c>
      <c r="R101" s="11">
        <f>'2. Tulud-kulud projektiga'!R101-'3. Tulud-kulud projektita'!R101</f>
        <v>0</v>
      </c>
      <c r="S101" s="16"/>
      <c r="T101" s="16"/>
      <c r="U101" s="17"/>
    </row>
    <row r="102" spans="1:21" hidden="1" outlineLevel="1" x14ac:dyDescent="0.35">
      <c r="A102" s="813"/>
      <c r="B102" s="50" t="str">
        <f>'2. Tulud-kulud projektiga'!B102</f>
        <v>Kulu 9</v>
      </c>
      <c r="C102" s="51" t="s">
        <v>3</v>
      </c>
      <c r="D102" s="11">
        <f>'2. Tulud-kulud projektiga'!D102-'3. Tulud-kulud projektita'!D102</f>
        <v>0</v>
      </c>
      <c r="E102" s="11">
        <f>'2. Tulud-kulud projektiga'!E102-'3. Tulud-kulud projektita'!E102</f>
        <v>0</v>
      </c>
      <c r="F102" s="11">
        <f>'2. Tulud-kulud projektiga'!F102-'3. Tulud-kulud projektita'!F102</f>
        <v>0</v>
      </c>
      <c r="G102" s="11">
        <f>'2. Tulud-kulud projektiga'!G102-'3. Tulud-kulud projektita'!G102</f>
        <v>0</v>
      </c>
      <c r="H102" s="11">
        <f>'2. Tulud-kulud projektiga'!H102-'3. Tulud-kulud projektita'!H102</f>
        <v>0</v>
      </c>
      <c r="I102" s="11">
        <f>'2. Tulud-kulud projektiga'!I102-'3. Tulud-kulud projektita'!I102</f>
        <v>0</v>
      </c>
      <c r="J102" s="11">
        <f>'2. Tulud-kulud projektiga'!J102-'3. Tulud-kulud projektita'!J102</f>
        <v>0</v>
      </c>
      <c r="K102" s="11">
        <f>'2. Tulud-kulud projektiga'!K102-'3. Tulud-kulud projektita'!K102</f>
        <v>0</v>
      </c>
      <c r="L102" s="11">
        <f>'2. Tulud-kulud projektiga'!L102-'3. Tulud-kulud projektita'!L102</f>
        <v>0</v>
      </c>
      <c r="M102" s="11">
        <f>'2. Tulud-kulud projektiga'!M102-'3. Tulud-kulud projektita'!M102</f>
        <v>0</v>
      </c>
      <c r="N102" s="11">
        <f>'2. Tulud-kulud projektiga'!N102-'3. Tulud-kulud projektita'!N102</f>
        <v>0</v>
      </c>
      <c r="O102" s="11">
        <f>'2. Tulud-kulud projektiga'!O102-'3. Tulud-kulud projektita'!O102</f>
        <v>0</v>
      </c>
      <c r="P102" s="11">
        <f>'2. Tulud-kulud projektiga'!P102-'3. Tulud-kulud projektita'!P102</f>
        <v>0</v>
      </c>
      <c r="Q102" s="11">
        <f>'2. Tulud-kulud projektiga'!Q102-'3. Tulud-kulud projektita'!Q102</f>
        <v>0</v>
      </c>
      <c r="R102" s="11">
        <f>'2. Tulud-kulud projektiga'!R102-'3. Tulud-kulud projektita'!R102</f>
        <v>0</v>
      </c>
      <c r="S102" s="16"/>
      <c r="T102" s="16"/>
      <c r="U102" s="17"/>
    </row>
    <row r="103" spans="1:21" hidden="1" outlineLevel="1" x14ac:dyDescent="0.35">
      <c r="A103" s="814"/>
      <c r="B103" s="50" t="str">
        <f>'2. Tulud-kulud projektiga'!B103</f>
        <v>Kulu 10</v>
      </c>
      <c r="C103" s="51" t="s">
        <v>3</v>
      </c>
      <c r="D103" s="11">
        <f>'2. Tulud-kulud projektiga'!D103-'3. Tulud-kulud projektita'!D103</f>
        <v>0</v>
      </c>
      <c r="E103" s="11">
        <f>'2. Tulud-kulud projektiga'!E103-'3. Tulud-kulud projektita'!E103</f>
        <v>0</v>
      </c>
      <c r="F103" s="11">
        <f>'2. Tulud-kulud projektiga'!F103-'3. Tulud-kulud projektita'!F103</f>
        <v>0</v>
      </c>
      <c r="G103" s="11">
        <f>'2. Tulud-kulud projektiga'!G103-'3. Tulud-kulud projektita'!G103</f>
        <v>0</v>
      </c>
      <c r="H103" s="11">
        <f>'2. Tulud-kulud projektiga'!H103-'3. Tulud-kulud projektita'!H103</f>
        <v>0</v>
      </c>
      <c r="I103" s="11">
        <f>'2. Tulud-kulud projektiga'!I103-'3. Tulud-kulud projektita'!I103</f>
        <v>0</v>
      </c>
      <c r="J103" s="11">
        <f>'2. Tulud-kulud projektiga'!J103-'3. Tulud-kulud projektita'!J103</f>
        <v>0</v>
      </c>
      <c r="K103" s="11">
        <f>'2. Tulud-kulud projektiga'!K103-'3. Tulud-kulud projektita'!K103</f>
        <v>0</v>
      </c>
      <c r="L103" s="11">
        <f>'2. Tulud-kulud projektiga'!L103-'3. Tulud-kulud projektita'!L103</f>
        <v>0</v>
      </c>
      <c r="M103" s="11">
        <f>'2. Tulud-kulud projektiga'!M103-'3. Tulud-kulud projektita'!M103</f>
        <v>0</v>
      </c>
      <c r="N103" s="11">
        <f>'2. Tulud-kulud projektiga'!N103-'3. Tulud-kulud projektita'!N103</f>
        <v>0</v>
      </c>
      <c r="O103" s="11">
        <f>'2. Tulud-kulud projektiga'!O103-'3. Tulud-kulud projektita'!O103</f>
        <v>0</v>
      </c>
      <c r="P103" s="11">
        <f>'2. Tulud-kulud projektiga'!P103-'3. Tulud-kulud projektita'!P103</f>
        <v>0</v>
      </c>
      <c r="Q103" s="11">
        <f>'2. Tulud-kulud projektiga'!Q103-'3. Tulud-kulud projektita'!Q103</f>
        <v>0</v>
      </c>
      <c r="R103" s="11">
        <f>'2. Tulud-kulud projektiga'!R103-'3. Tulud-kulud projektita'!R103</f>
        <v>0</v>
      </c>
      <c r="S103" s="16"/>
      <c r="T103" s="16"/>
      <c r="U103" s="17"/>
    </row>
    <row r="104" spans="1:21" s="2" customFormat="1" collapsed="1" x14ac:dyDescent="0.35">
      <c r="A104" s="801" t="str">
        <f>'2. Tulud-kulud projektiga'!A104:B104</f>
        <v>Turunduskulud kokku</v>
      </c>
      <c r="B104" s="802"/>
      <c r="C104" s="49"/>
      <c r="D104" s="59">
        <f>'2. Tulud-kulud projektiga'!D104-'3. Tulud-kulud projektita'!D104</f>
        <v>0</v>
      </c>
      <c r="E104" s="59">
        <f>'2. Tulud-kulud projektiga'!E104-'3. Tulud-kulud projektita'!E104</f>
        <v>0</v>
      </c>
      <c r="F104" s="59">
        <f>'2. Tulud-kulud projektiga'!F104-'3. Tulud-kulud projektita'!F104</f>
        <v>12000</v>
      </c>
      <c r="G104" s="59">
        <f>'2. Tulud-kulud projektiga'!G104-'3. Tulud-kulud projektita'!G104</f>
        <v>36000</v>
      </c>
      <c r="H104" s="59">
        <f>'2. Tulud-kulud projektiga'!H104-'3. Tulud-kulud projektita'!H104</f>
        <v>36000</v>
      </c>
      <c r="I104" s="59">
        <f>'2. Tulud-kulud projektiga'!I104-'3. Tulud-kulud projektita'!I104</f>
        <v>36000</v>
      </c>
      <c r="J104" s="59">
        <f>'2. Tulud-kulud projektiga'!J104-'3. Tulud-kulud projektita'!J104</f>
        <v>36000</v>
      </c>
      <c r="K104" s="59">
        <f>'2. Tulud-kulud projektiga'!K104-'3. Tulud-kulud projektita'!K104</f>
        <v>36000</v>
      </c>
      <c r="L104" s="59">
        <f>'2. Tulud-kulud projektiga'!L104-'3. Tulud-kulud projektita'!L104</f>
        <v>36000</v>
      </c>
      <c r="M104" s="59">
        <f>'2. Tulud-kulud projektiga'!M104-'3. Tulud-kulud projektita'!M104</f>
        <v>36000</v>
      </c>
      <c r="N104" s="59">
        <f>'2. Tulud-kulud projektiga'!N104-'3. Tulud-kulud projektita'!N104</f>
        <v>36000</v>
      </c>
      <c r="O104" s="59">
        <f>'2. Tulud-kulud projektiga'!O104-'3. Tulud-kulud projektita'!O104</f>
        <v>36000</v>
      </c>
      <c r="P104" s="59">
        <f>'2. Tulud-kulud projektiga'!P104-'3. Tulud-kulud projektita'!P104</f>
        <v>36000</v>
      </c>
      <c r="Q104" s="59">
        <f>'2. Tulud-kulud projektiga'!Q104-'3. Tulud-kulud projektita'!Q104</f>
        <v>36000</v>
      </c>
      <c r="R104" s="59">
        <f>'2. Tulud-kulud projektiga'!R104-'3. Tulud-kulud projektita'!R104</f>
        <v>36000</v>
      </c>
      <c r="S104" s="20"/>
      <c r="T104" s="20"/>
      <c r="U104" s="21"/>
    </row>
    <row r="105" spans="1:21" ht="4.5" customHeight="1" x14ac:dyDescent="0.35">
      <c r="A105" s="4"/>
      <c r="B105" s="25"/>
      <c r="C105" s="9"/>
      <c r="D105" s="18"/>
      <c r="E105" s="18"/>
      <c r="F105" s="18"/>
      <c r="G105" s="18"/>
      <c r="H105" s="18"/>
      <c r="I105" s="18"/>
      <c r="J105" s="18"/>
      <c r="K105" s="18"/>
      <c r="L105" s="18"/>
      <c r="M105" s="18"/>
      <c r="N105" s="18"/>
      <c r="O105" s="18"/>
      <c r="P105" s="18"/>
      <c r="Q105" s="18"/>
      <c r="R105" s="18"/>
      <c r="S105" s="16"/>
      <c r="T105" s="16"/>
      <c r="U105" s="17"/>
    </row>
    <row r="106" spans="1:21" ht="16.5" customHeight="1" x14ac:dyDescent="0.35">
      <c r="A106" s="800" t="str">
        <f>'2. Tulud-kulud projektiga'!A106:B106</f>
        <v>Remonditööd</v>
      </c>
      <c r="B106" s="800"/>
      <c r="C106" s="51" t="s">
        <v>3</v>
      </c>
      <c r="D106" s="11">
        <f>'2. Tulud-kulud projektiga'!D106-'3. Tulud-kulud projektita'!D106</f>
        <v>0</v>
      </c>
      <c r="E106" s="11">
        <f>'2. Tulud-kulud projektiga'!E106-'3. Tulud-kulud projektita'!E106</f>
        <v>0</v>
      </c>
      <c r="F106" s="11">
        <f>'2. Tulud-kulud projektiga'!F106-'3. Tulud-kulud projektita'!F106</f>
        <v>1800</v>
      </c>
      <c r="G106" s="11">
        <f>'2. Tulud-kulud projektiga'!G106-'3. Tulud-kulud projektita'!G106</f>
        <v>5400</v>
      </c>
      <c r="H106" s="11">
        <f>'2. Tulud-kulud projektiga'!H106-'3. Tulud-kulud projektita'!H106</f>
        <v>5400</v>
      </c>
      <c r="I106" s="11">
        <f>'2. Tulud-kulud projektiga'!I106-'3. Tulud-kulud projektita'!I106</f>
        <v>5400</v>
      </c>
      <c r="J106" s="11">
        <f>'2. Tulud-kulud projektiga'!J106-'3. Tulud-kulud projektita'!J106</f>
        <v>5400</v>
      </c>
      <c r="K106" s="11">
        <f>'2. Tulud-kulud projektiga'!K106-'3. Tulud-kulud projektita'!K106</f>
        <v>5400</v>
      </c>
      <c r="L106" s="11">
        <f>'2. Tulud-kulud projektiga'!L106-'3. Tulud-kulud projektita'!L106</f>
        <v>5400</v>
      </c>
      <c r="M106" s="11">
        <f>'2. Tulud-kulud projektiga'!M106-'3. Tulud-kulud projektita'!M106</f>
        <v>5400</v>
      </c>
      <c r="N106" s="11">
        <f>'2. Tulud-kulud projektiga'!N106-'3. Tulud-kulud projektita'!N106</f>
        <v>5400</v>
      </c>
      <c r="O106" s="11">
        <f>'2. Tulud-kulud projektiga'!O106-'3. Tulud-kulud projektita'!O106</f>
        <v>5400</v>
      </c>
      <c r="P106" s="11">
        <f>'2. Tulud-kulud projektiga'!P106-'3. Tulud-kulud projektita'!P106</f>
        <v>5400</v>
      </c>
      <c r="Q106" s="11">
        <f>'2. Tulud-kulud projektiga'!Q106-'3. Tulud-kulud projektita'!Q106</f>
        <v>5400</v>
      </c>
      <c r="R106" s="11">
        <f>'2. Tulud-kulud projektiga'!R106-'3. Tulud-kulud projektita'!R106</f>
        <v>5400</v>
      </c>
      <c r="S106" s="16"/>
      <c r="T106" s="16"/>
      <c r="U106" s="17"/>
    </row>
    <row r="107" spans="1:21" ht="16.5" customHeight="1" x14ac:dyDescent="0.35">
      <c r="A107" s="800" t="str">
        <f>'2. Tulud-kulud projektiga'!A107:B107</f>
        <v>Valve</v>
      </c>
      <c r="B107" s="800"/>
      <c r="C107" s="51" t="s">
        <v>3</v>
      </c>
      <c r="D107" s="11">
        <f>'2. Tulud-kulud projektiga'!D107-'3. Tulud-kulud projektita'!D107</f>
        <v>0</v>
      </c>
      <c r="E107" s="11">
        <f>'2. Tulud-kulud projektiga'!E107-'3. Tulud-kulud projektita'!E107</f>
        <v>0</v>
      </c>
      <c r="F107" s="11">
        <f>'2. Tulud-kulud projektiga'!F107-'3. Tulud-kulud projektita'!F107</f>
        <v>1600</v>
      </c>
      <c r="G107" s="11">
        <f>'2. Tulud-kulud projektiga'!G107-'3. Tulud-kulud projektita'!G107</f>
        <v>4800</v>
      </c>
      <c r="H107" s="11">
        <f>'2. Tulud-kulud projektiga'!H107-'3. Tulud-kulud projektita'!H107</f>
        <v>4800</v>
      </c>
      <c r="I107" s="11">
        <f>'2. Tulud-kulud projektiga'!I107-'3. Tulud-kulud projektita'!I107</f>
        <v>4800</v>
      </c>
      <c r="J107" s="11">
        <f>'2. Tulud-kulud projektiga'!J107-'3. Tulud-kulud projektita'!J107</f>
        <v>4800</v>
      </c>
      <c r="K107" s="11">
        <f>'2. Tulud-kulud projektiga'!K107-'3. Tulud-kulud projektita'!K107</f>
        <v>4800</v>
      </c>
      <c r="L107" s="11">
        <f>'2. Tulud-kulud projektiga'!L107-'3. Tulud-kulud projektita'!L107</f>
        <v>4800</v>
      </c>
      <c r="M107" s="11">
        <f>'2. Tulud-kulud projektiga'!M107-'3. Tulud-kulud projektita'!M107</f>
        <v>4800</v>
      </c>
      <c r="N107" s="11">
        <f>'2. Tulud-kulud projektiga'!N107-'3. Tulud-kulud projektita'!N107</f>
        <v>4800</v>
      </c>
      <c r="O107" s="11">
        <f>'2. Tulud-kulud projektiga'!O107-'3. Tulud-kulud projektita'!O107</f>
        <v>4800</v>
      </c>
      <c r="P107" s="11">
        <f>'2. Tulud-kulud projektiga'!P107-'3. Tulud-kulud projektita'!P107</f>
        <v>4800</v>
      </c>
      <c r="Q107" s="11">
        <f>'2. Tulud-kulud projektiga'!Q107-'3. Tulud-kulud projektita'!Q107</f>
        <v>4800</v>
      </c>
      <c r="R107" s="11">
        <f>'2. Tulud-kulud projektiga'!R107-'3. Tulud-kulud projektita'!R107</f>
        <v>4800</v>
      </c>
      <c r="S107" s="16"/>
      <c r="T107" s="16"/>
      <c r="U107" s="17"/>
    </row>
    <row r="108" spans="1:21" ht="16.5" customHeight="1" x14ac:dyDescent="0.35">
      <c r="A108" s="800" t="str">
        <f>'2. Tulud-kulud projektiga'!A108:B108</f>
        <v>Kindlustus</v>
      </c>
      <c r="B108" s="800"/>
      <c r="C108" s="51" t="s">
        <v>3</v>
      </c>
      <c r="D108" s="11">
        <f>'2. Tulud-kulud projektiga'!D108-'3. Tulud-kulud projektita'!D108</f>
        <v>0</v>
      </c>
      <c r="E108" s="11">
        <f>'2. Tulud-kulud projektiga'!E108-'3. Tulud-kulud projektita'!E108</f>
        <v>0</v>
      </c>
      <c r="F108" s="11">
        <f>'2. Tulud-kulud projektiga'!F108-'3. Tulud-kulud projektita'!F108</f>
        <v>1090.6666666666667</v>
      </c>
      <c r="G108" s="11">
        <f>'2. Tulud-kulud projektiga'!G108-'3. Tulud-kulud projektita'!G108</f>
        <v>3272</v>
      </c>
      <c r="H108" s="11">
        <f>'2. Tulud-kulud projektiga'!H108-'3. Tulud-kulud projektita'!H108</f>
        <v>3272</v>
      </c>
      <c r="I108" s="11">
        <f>'2. Tulud-kulud projektiga'!I108-'3. Tulud-kulud projektita'!I108</f>
        <v>3220</v>
      </c>
      <c r="J108" s="11">
        <f>'2. Tulud-kulud projektiga'!J108-'3. Tulud-kulud projektita'!J108</f>
        <v>3220</v>
      </c>
      <c r="K108" s="11">
        <f>'2. Tulud-kulud projektiga'!K108-'3. Tulud-kulud projektita'!K108</f>
        <v>3220</v>
      </c>
      <c r="L108" s="11">
        <f>'2. Tulud-kulud projektiga'!L108-'3. Tulud-kulud projektita'!L108</f>
        <v>3220</v>
      </c>
      <c r="M108" s="11">
        <f>'2. Tulud-kulud projektiga'!M108-'3. Tulud-kulud projektita'!M108</f>
        <v>3272</v>
      </c>
      <c r="N108" s="11">
        <f>'2. Tulud-kulud projektiga'!N108-'3. Tulud-kulud projektita'!N108</f>
        <v>3272</v>
      </c>
      <c r="O108" s="11">
        <f>'2. Tulud-kulud projektiga'!O108-'3. Tulud-kulud projektita'!O108</f>
        <v>3272</v>
      </c>
      <c r="P108" s="11">
        <f>'2. Tulud-kulud projektiga'!P108-'3. Tulud-kulud projektita'!P108</f>
        <v>3272</v>
      </c>
      <c r="Q108" s="11">
        <f>'2. Tulud-kulud projektiga'!Q108-'3. Tulud-kulud projektita'!Q108</f>
        <v>3272</v>
      </c>
      <c r="R108" s="11">
        <f>'2. Tulud-kulud projektiga'!R108-'3. Tulud-kulud projektita'!R108</f>
        <v>3272</v>
      </c>
      <c r="S108" s="16"/>
      <c r="T108" s="16"/>
      <c r="U108" s="17"/>
    </row>
    <row r="109" spans="1:21" ht="16.5" customHeight="1" x14ac:dyDescent="0.35">
      <c r="A109" s="800" t="str">
        <f>'2. Tulud-kulud projektiga'!A109:B109</f>
        <v>Muu</v>
      </c>
      <c r="B109" s="800"/>
      <c r="C109" s="51" t="s">
        <v>3</v>
      </c>
      <c r="D109" s="11">
        <f>'2. Tulud-kulud projektiga'!D109-'3. Tulud-kulud projektita'!D109</f>
        <v>0</v>
      </c>
      <c r="E109" s="11">
        <f>'2. Tulud-kulud projektiga'!E109-'3. Tulud-kulud projektita'!E109</f>
        <v>0</v>
      </c>
      <c r="F109" s="11">
        <f>'2. Tulud-kulud projektiga'!F109-'3. Tulud-kulud projektita'!F109</f>
        <v>1420</v>
      </c>
      <c r="G109" s="11">
        <f>'2. Tulud-kulud projektiga'!G109-'3. Tulud-kulud projektita'!G109</f>
        <v>4260</v>
      </c>
      <c r="H109" s="11">
        <f>'2. Tulud-kulud projektiga'!H109-'3. Tulud-kulud projektita'!H109</f>
        <v>4260</v>
      </c>
      <c r="I109" s="11">
        <f>'2. Tulud-kulud projektiga'!I109-'3. Tulud-kulud projektita'!I109</f>
        <v>4260</v>
      </c>
      <c r="J109" s="11">
        <f>'2. Tulud-kulud projektiga'!J109-'3. Tulud-kulud projektita'!J109</f>
        <v>4260</v>
      </c>
      <c r="K109" s="11">
        <f>'2. Tulud-kulud projektiga'!K109-'3. Tulud-kulud projektita'!K109</f>
        <v>4260</v>
      </c>
      <c r="L109" s="11">
        <f>'2. Tulud-kulud projektiga'!L109-'3. Tulud-kulud projektita'!L109</f>
        <v>4260</v>
      </c>
      <c r="M109" s="11">
        <f>'2. Tulud-kulud projektiga'!M109-'3. Tulud-kulud projektita'!M109</f>
        <v>4260</v>
      </c>
      <c r="N109" s="11">
        <f>'2. Tulud-kulud projektiga'!N109-'3. Tulud-kulud projektita'!N109</f>
        <v>4260</v>
      </c>
      <c r="O109" s="11">
        <f>'2. Tulud-kulud projektiga'!O109-'3. Tulud-kulud projektita'!O109</f>
        <v>4260</v>
      </c>
      <c r="P109" s="11">
        <f>'2. Tulud-kulud projektiga'!P109-'3. Tulud-kulud projektita'!P109</f>
        <v>4260</v>
      </c>
      <c r="Q109" s="11">
        <f>'2. Tulud-kulud projektiga'!Q109-'3. Tulud-kulud projektita'!Q109</f>
        <v>4260</v>
      </c>
      <c r="R109" s="11">
        <f>'2. Tulud-kulud projektiga'!R109-'3. Tulud-kulud projektita'!R109</f>
        <v>4260</v>
      </c>
      <c r="S109" s="16"/>
      <c r="T109" s="16"/>
      <c r="U109" s="17"/>
    </row>
    <row r="110" spans="1:21" ht="16.5" hidden="1" customHeight="1" x14ac:dyDescent="0.35">
      <c r="A110" s="800" t="str">
        <f>'2. Tulud-kulud projektiga'!A110:B110</f>
        <v>Muu kulu 5</v>
      </c>
      <c r="B110" s="800"/>
      <c r="C110" s="51" t="s">
        <v>3</v>
      </c>
      <c r="D110" s="11">
        <f>'2. Tulud-kulud projektiga'!D110-'3. Tulud-kulud projektita'!D110</f>
        <v>0</v>
      </c>
      <c r="E110" s="11">
        <f>'2. Tulud-kulud projektiga'!E110-'3. Tulud-kulud projektita'!E110</f>
        <v>0</v>
      </c>
      <c r="F110" s="11">
        <f>'2. Tulud-kulud projektiga'!F110-'3. Tulud-kulud projektita'!F110</f>
        <v>0</v>
      </c>
      <c r="G110" s="11">
        <f>'2. Tulud-kulud projektiga'!G110-'3. Tulud-kulud projektita'!G110</f>
        <v>0</v>
      </c>
      <c r="H110" s="11">
        <f>'2. Tulud-kulud projektiga'!H110-'3. Tulud-kulud projektita'!H110</f>
        <v>0</v>
      </c>
      <c r="I110" s="11">
        <f>'2. Tulud-kulud projektiga'!I110-'3. Tulud-kulud projektita'!I110</f>
        <v>0</v>
      </c>
      <c r="J110" s="11">
        <f>'2. Tulud-kulud projektiga'!J110-'3. Tulud-kulud projektita'!J110</f>
        <v>0</v>
      </c>
      <c r="K110" s="11">
        <f>'2. Tulud-kulud projektiga'!K110-'3. Tulud-kulud projektita'!K110</f>
        <v>0</v>
      </c>
      <c r="L110" s="11">
        <f>'2. Tulud-kulud projektiga'!L110-'3. Tulud-kulud projektita'!L110</f>
        <v>0</v>
      </c>
      <c r="M110" s="11">
        <f>'2. Tulud-kulud projektiga'!M110-'3. Tulud-kulud projektita'!M110</f>
        <v>0</v>
      </c>
      <c r="N110" s="11">
        <f>'2. Tulud-kulud projektiga'!N110-'3. Tulud-kulud projektita'!N110</f>
        <v>0</v>
      </c>
      <c r="O110" s="11">
        <f>'2. Tulud-kulud projektiga'!O110-'3. Tulud-kulud projektita'!O110</f>
        <v>0</v>
      </c>
      <c r="P110" s="11">
        <f>'2. Tulud-kulud projektiga'!P110-'3. Tulud-kulud projektita'!P110</f>
        <v>0</v>
      </c>
      <c r="Q110" s="11">
        <f>'2. Tulud-kulud projektiga'!Q110-'3. Tulud-kulud projektita'!Q110</f>
        <v>0</v>
      </c>
      <c r="R110" s="11">
        <f>'2. Tulud-kulud projektiga'!R110-'3. Tulud-kulud projektita'!R110</f>
        <v>0</v>
      </c>
      <c r="S110" s="16"/>
      <c r="T110" s="16"/>
      <c r="U110" s="17"/>
    </row>
    <row r="111" spans="1:21" ht="16.5" hidden="1" customHeight="1" outlineLevel="1" x14ac:dyDescent="0.35">
      <c r="A111" s="800" t="str">
        <f>'2. Tulud-kulud projektiga'!A111:B111</f>
        <v>Asendusinvesteeringud:</v>
      </c>
      <c r="B111" s="800"/>
      <c r="C111" s="51" t="s">
        <v>3</v>
      </c>
      <c r="D111" s="11">
        <f>'2. Tulud-kulud projektiga'!D111-'3. Tulud-kulud projektita'!D111</f>
        <v>0</v>
      </c>
      <c r="E111" s="11">
        <f>'2. Tulud-kulud projektiga'!E111-'3. Tulud-kulud projektita'!E111</f>
        <v>0</v>
      </c>
      <c r="F111" s="11">
        <f>'2. Tulud-kulud projektiga'!F111-'3. Tulud-kulud projektita'!F111</f>
        <v>0</v>
      </c>
      <c r="G111" s="11">
        <f>'2. Tulud-kulud projektiga'!G111-'3. Tulud-kulud projektita'!G111</f>
        <v>0</v>
      </c>
      <c r="H111" s="11">
        <f>'2. Tulud-kulud projektiga'!H111-'3. Tulud-kulud projektita'!H111</f>
        <v>0</v>
      </c>
      <c r="I111" s="11">
        <f>'2. Tulud-kulud projektiga'!I111-'3. Tulud-kulud projektita'!I111</f>
        <v>0</v>
      </c>
      <c r="J111" s="11">
        <f>'2. Tulud-kulud projektiga'!J111-'3. Tulud-kulud projektita'!J111</f>
        <v>0</v>
      </c>
      <c r="K111" s="11">
        <f>'2. Tulud-kulud projektiga'!K111-'3. Tulud-kulud projektita'!K111</f>
        <v>0</v>
      </c>
      <c r="L111" s="11">
        <f>'2. Tulud-kulud projektiga'!L111-'3. Tulud-kulud projektita'!L111</f>
        <v>0</v>
      </c>
      <c r="M111" s="11">
        <f>'2. Tulud-kulud projektiga'!M111-'3. Tulud-kulud projektita'!M111</f>
        <v>0</v>
      </c>
      <c r="N111" s="11">
        <f>'2. Tulud-kulud projektiga'!N111-'3. Tulud-kulud projektita'!N111</f>
        <v>0</v>
      </c>
      <c r="O111" s="11">
        <f>'2. Tulud-kulud projektiga'!O111-'3. Tulud-kulud projektita'!O111</f>
        <v>0</v>
      </c>
      <c r="P111" s="11">
        <f>'2. Tulud-kulud projektiga'!P111-'3. Tulud-kulud projektita'!P111</f>
        <v>0</v>
      </c>
      <c r="Q111" s="11">
        <f>'2. Tulud-kulud projektiga'!Q111-'3. Tulud-kulud projektita'!Q111</f>
        <v>0</v>
      </c>
      <c r="R111" s="11">
        <f>'2. Tulud-kulud projektiga'!R111-'3. Tulud-kulud projektita'!R111</f>
        <v>0</v>
      </c>
      <c r="S111" s="16"/>
      <c r="T111" s="16"/>
      <c r="U111" s="17"/>
    </row>
    <row r="112" spans="1:21" ht="16.5" hidden="1" customHeight="1" outlineLevel="1" x14ac:dyDescent="0.35">
      <c r="A112" s="800" t="str">
        <f>'2. Tulud-kulud projektiga'!A112:B112</f>
        <v>Sisustus</v>
      </c>
      <c r="B112" s="800"/>
      <c r="C112" s="51" t="s">
        <v>3</v>
      </c>
      <c r="D112" s="11">
        <f>'2. Tulud-kulud projektiga'!D112-'3. Tulud-kulud projektita'!D112</f>
        <v>0</v>
      </c>
      <c r="E112" s="11">
        <f>'2. Tulud-kulud projektiga'!E112-'3. Tulud-kulud projektita'!E112</f>
        <v>0</v>
      </c>
      <c r="F112" s="11">
        <f>'2. Tulud-kulud projektiga'!F112-'3. Tulud-kulud projektita'!F112</f>
        <v>0</v>
      </c>
      <c r="G112" s="11">
        <f>'2. Tulud-kulud projektiga'!G112-'3. Tulud-kulud projektita'!G112</f>
        <v>0</v>
      </c>
      <c r="H112" s="11">
        <f>'2. Tulud-kulud projektiga'!H112-'3. Tulud-kulud projektita'!H112</f>
        <v>0</v>
      </c>
      <c r="I112" s="11">
        <f>'2. Tulud-kulud projektiga'!I112-'3. Tulud-kulud projektita'!I112</f>
        <v>0</v>
      </c>
      <c r="J112" s="11">
        <f>'2. Tulud-kulud projektiga'!J112-'3. Tulud-kulud projektita'!J112</f>
        <v>0</v>
      </c>
      <c r="K112" s="11">
        <f>'2. Tulud-kulud projektiga'!K112-'3. Tulud-kulud projektita'!K112</f>
        <v>0</v>
      </c>
      <c r="L112" s="11">
        <f>'2. Tulud-kulud projektiga'!L112-'3. Tulud-kulud projektita'!L112</f>
        <v>0</v>
      </c>
      <c r="M112" s="11">
        <f>'2. Tulud-kulud projektiga'!M112-'3. Tulud-kulud projektita'!M112</f>
        <v>0</v>
      </c>
      <c r="N112" s="11">
        <f>'2. Tulud-kulud projektiga'!N112-'3. Tulud-kulud projektita'!N112</f>
        <v>0</v>
      </c>
      <c r="O112" s="11">
        <f>'2. Tulud-kulud projektiga'!O112-'3. Tulud-kulud projektita'!O112</f>
        <v>0</v>
      </c>
      <c r="P112" s="11">
        <f>'2. Tulud-kulud projektiga'!P112-'3. Tulud-kulud projektita'!P112</f>
        <v>0</v>
      </c>
      <c r="Q112" s="11">
        <f>'2. Tulud-kulud projektiga'!Q112-'3. Tulud-kulud projektita'!Q112</f>
        <v>0</v>
      </c>
      <c r="R112" s="11">
        <f>'2. Tulud-kulud projektiga'!R112-'3. Tulud-kulud projektita'!R112</f>
        <v>36000</v>
      </c>
      <c r="S112" s="16"/>
      <c r="T112" s="16"/>
      <c r="U112" s="17"/>
    </row>
    <row r="113" spans="1:21" ht="16.5" hidden="1" customHeight="1" outlineLevel="1" x14ac:dyDescent="0.35">
      <c r="A113" s="800" t="str">
        <f>'2. Tulud-kulud projektiga'!A113:B113</f>
        <v>Muu kulu 8</v>
      </c>
      <c r="B113" s="800"/>
      <c r="C113" s="51" t="s">
        <v>3</v>
      </c>
      <c r="D113" s="11">
        <f>'2. Tulud-kulud projektiga'!D113-'3. Tulud-kulud projektita'!D113</f>
        <v>0</v>
      </c>
      <c r="E113" s="11">
        <f>'2. Tulud-kulud projektiga'!E113-'3. Tulud-kulud projektita'!E113</f>
        <v>0</v>
      </c>
      <c r="F113" s="11">
        <f>'2. Tulud-kulud projektiga'!F113-'3. Tulud-kulud projektita'!F113</f>
        <v>0</v>
      </c>
      <c r="G113" s="11">
        <f>'2. Tulud-kulud projektiga'!G113-'3. Tulud-kulud projektita'!G113</f>
        <v>0</v>
      </c>
      <c r="H113" s="11">
        <f>'2. Tulud-kulud projektiga'!H113-'3. Tulud-kulud projektita'!H113</f>
        <v>0</v>
      </c>
      <c r="I113" s="11">
        <f>'2. Tulud-kulud projektiga'!I113-'3. Tulud-kulud projektita'!I113</f>
        <v>0</v>
      </c>
      <c r="J113" s="11">
        <f>'2. Tulud-kulud projektiga'!J113-'3. Tulud-kulud projektita'!J113</f>
        <v>0</v>
      </c>
      <c r="K113" s="11">
        <f>'2. Tulud-kulud projektiga'!K113-'3. Tulud-kulud projektita'!K113</f>
        <v>0</v>
      </c>
      <c r="L113" s="11">
        <f>'2. Tulud-kulud projektiga'!L113-'3. Tulud-kulud projektita'!L113</f>
        <v>0</v>
      </c>
      <c r="M113" s="11">
        <f>'2. Tulud-kulud projektiga'!M113-'3. Tulud-kulud projektita'!M113</f>
        <v>0</v>
      </c>
      <c r="N113" s="11">
        <f>'2. Tulud-kulud projektiga'!N113-'3. Tulud-kulud projektita'!N113</f>
        <v>0</v>
      </c>
      <c r="O113" s="11">
        <f>'2. Tulud-kulud projektiga'!O113-'3. Tulud-kulud projektita'!O113</f>
        <v>0</v>
      </c>
      <c r="P113" s="11">
        <f>'2. Tulud-kulud projektiga'!P113-'3. Tulud-kulud projektita'!P113</f>
        <v>0</v>
      </c>
      <c r="Q113" s="11">
        <f>'2. Tulud-kulud projektiga'!Q113-'3. Tulud-kulud projektita'!Q113</f>
        <v>0</v>
      </c>
      <c r="R113" s="11">
        <f>'2. Tulud-kulud projektiga'!R113-'3. Tulud-kulud projektita'!R113</f>
        <v>0</v>
      </c>
      <c r="S113" s="16"/>
      <c r="T113" s="16"/>
      <c r="U113" s="17"/>
    </row>
    <row r="114" spans="1:21" ht="16.5" hidden="1" customHeight="1" outlineLevel="1" x14ac:dyDescent="0.35">
      <c r="A114" s="800" t="str">
        <f>'2. Tulud-kulud projektiga'!A114:B114</f>
        <v>Muu kulu 9</v>
      </c>
      <c r="B114" s="800"/>
      <c r="C114" s="51" t="s">
        <v>3</v>
      </c>
      <c r="D114" s="11">
        <f>'2. Tulud-kulud projektiga'!D114-'3. Tulud-kulud projektita'!D114</f>
        <v>0</v>
      </c>
      <c r="E114" s="11">
        <f>'2. Tulud-kulud projektiga'!E114-'3. Tulud-kulud projektita'!E114</f>
        <v>0</v>
      </c>
      <c r="F114" s="11">
        <f>'2. Tulud-kulud projektiga'!F114-'3. Tulud-kulud projektita'!F114</f>
        <v>0</v>
      </c>
      <c r="G114" s="11">
        <f>'2. Tulud-kulud projektiga'!G114-'3. Tulud-kulud projektita'!G114</f>
        <v>0</v>
      </c>
      <c r="H114" s="11">
        <f>'2. Tulud-kulud projektiga'!H114-'3. Tulud-kulud projektita'!H114</f>
        <v>0</v>
      </c>
      <c r="I114" s="11">
        <f>'2. Tulud-kulud projektiga'!I114-'3. Tulud-kulud projektita'!I114</f>
        <v>0</v>
      </c>
      <c r="J114" s="11">
        <f>'2. Tulud-kulud projektiga'!J114-'3. Tulud-kulud projektita'!J114</f>
        <v>0</v>
      </c>
      <c r="K114" s="11">
        <f>'2. Tulud-kulud projektiga'!K114-'3. Tulud-kulud projektita'!K114</f>
        <v>0</v>
      </c>
      <c r="L114" s="11">
        <f>'2. Tulud-kulud projektiga'!L114-'3. Tulud-kulud projektita'!L114</f>
        <v>0</v>
      </c>
      <c r="M114" s="11">
        <f>'2. Tulud-kulud projektiga'!M114-'3. Tulud-kulud projektita'!M114</f>
        <v>0</v>
      </c>
      <c r="N114" s="11">
        <f>'2. Tulud-kulud projektiga'!N114-'3. Tulud-kulud projektita'!N114</f>
        <v>0</v>
      </c>
      <c r="O114" s="11">
        <f>'2. Tulud-kulud projektiga'!O114-'3. Tulud-kulud projektita'!O114</f>
        <v>0</v>
      </c>
      <c r="P114" s="11">
        <f>'2. Tulud-kulud projektiga'!P114-'3. Tulud-kulud projektita'!P114</f>
        <v>0</v>
      </c>
      <c r="Q114" s="11">
        <f>'2. Tulud-kulud projektiga'!Q114-'3. Tulud-kulud projektita'!Q114</f>
        <v>0</v>
      </c>
      <c r="R114" s="11">
        <f>'2. Tulud-kulud projektiga'!R114-'3. Tulud-kulud projektita'!R114</f>
        <v>0</v>
      </c>
      <c r="S114" s="16"/>
      <c r="T114" s="16"/>
      <c r="U114" s="17"/>
    </row>
    <row r="115" spans="1:21" ht="16.5" hidden="1" customHeight="1" outlineLevel="1" x14ac:dyDescent="0.35">
      <c r="A115" s="800" t="str">
        <f>'2. Tulud-kulud projektiga'!A115:B115</f>
        <v>Muu kulu 10</v>
      </c>
      <c r="B115" s="800"/>
      <c r="C115" s="51" t="s">
        <v>3</v>
      </c>
      <c r="D115" s="11">
        <f>'2. Tulud-kulud projektiga'!D115-'3. Tulud-kulud projektita'!D115</f>
        <v>0</v>
      </c>
      <c r="E115" s="11">
        <f>'2. Tulud-kulud projektiga'!E115-'3. Tulud-kulud projektita'!E115</f>
        <v>0</v>
      </c>
      <c r="F115" s="11">
        <f>'2. Tulud-kulud projektiga'!F115-'3. Tulud-kulud projektita'!F115</f>
        <v>0</v>
      </c>
      <c r="G115" s="11">
        <f>'2. Tulud-kulud projektiga'!G115-'3. Tulud-kulud projektita'!G115</f>
        <v>0</v>
      </c>
      <c r="H115" s="11">
        <f>'2. Tulud-kulud projektiga'!H115-'3. Tulud-kulud projektita'!H115</f>
        <v>0</v>
      </c>
      <c r="I115" s="11">
        <f>'2. Tulud-kulud projektiga'!I115-'3. Tulud-kulud projektita'!I115</f>
        <v>0</v>
      </c>
      <c r="J115" s="11">
        <f>'2. Tulud-kulud projektiga'!J115-'3. Tulud-kulud projektita'!J115</f>
        <v>0</v>
      </c>
      <c r="K115" s="11">
        <f>'2. Tulud-kulud projektiga'!K115-'3. Tulud-kulud projektita'!K115</f>
        <v>0</v>
      </c>
      <c r="L115" s="11">
        <f>'2. Tulud-kulud projektiga'!L115-'3. Tulud-kulud projektita'!L115</f>
        <v>0</v>
      </c>
      <c r="M115" s="11">
        <f>'2. Tulud-kulud projektiga'!M115-'3. Tulud-kulud projektita'!M115</f>
        <v>0</v>
      </c>
      <c r="N115" s="11">
        <f>'2. Tulud-kulud projektiga'!N115-'3. Tulud-kulud projektita'!N115</f>
        <v>0</v>
      </c>
      <c r="O115" s="11">
        <f>'2. Tulud-kulud projektiga'!O115-'3. Tulud-kulud projektita'!O115</f>
        <v>0</v>
      </c>
      <c r="P115" s="11">
        <f>'2. Tulud-kulud projektiga'!P115-'3. Tulud-kulud projektita'!P115</f>
        <v>0</v>
      </c>
      <c r="Q115" s="11">
        <f>'2. Tulud-kulud projektiga'!Q115-'3. Tulud-kulud projektita'!Q115</f>
        <v>0</v>
      </c>
      <c r="R115" s="11">
        <f>'2. Tulud-kulud projektiga'!R115-'3. Tulud-kulud projektita'!R115</f>
        <v>0</v>
      </c>
      <c r="S115" s="16"/>
      <c r="T115" s="16"/>
      <c r="U115" s="17"/>
    </row>
    <row r="116" spans="1:21" s="2" customFormat="1" collapsed="1" x14ac:dyDescent="0.35">
      <c r="A116" s="801" t="str">
        <f>'2. Tulud-kulud projektiga'!A116:B116</f>
        <v>Muud kulud kokku</v>
      </c>
      <c r="B116" s="802"/>
      <c r="C116" s="48" t="s">
        <v>3</v>
      </c>
      <c r="D116" s="59">
        <f>'2. Tulud-kulud projektiga'!D116-'3. Tulud-kulud projektita'!D116</f>
        <v>0</v>
      </c>
      <c r="E116" s="59">
        <f>'2. Tulud-kulud projektiga'!E116-'3. Tulud-kulud projektita'!E116</f>
        <v>0</v>
      </c>
      <c r="F116" s="59">
        <f>'2. Tulud-kulud projektiga'!F116-'3. Tulud-kulud projektita'!F116</f>
        <v>5910.666666666667</v>
      </c>
      <c r="G116" s="59">
        <f>'2. Tulud-kulud projektiga'!G116-'3. Tulud-kulud projektita'!G116</f>
        <v>17732</v>
      </c>
      <c r="H116" s="59">
        <f>'2. Tulud-kulud projektiga'!H116-'3. Tulud-kulud projektita'!H116</f>
        <v>17732</v>
      </c>
      <c r="I116" s="59">
        <f>'2. Tulud-kulud projektiga'!I116-'3. Tulud-kulud projektita'!I116</f>
        <v>17680</v>
      </c>
      <c r="J116" s="59">
        <f>'2. Tulud-kulud projektiga'!J116-'3. Tulud-kulud projektita'!J116</f>
        <v>17680</v>
      </c>
      <c r="K116" s="59">
        <f>'2. Tulud-kulud projektiga'!K116-'3. Tulud-kulud projektita'!K116</f>
        <v>17680</v>
      </c>
      <c r="L116" s="59">
        <f>'2. Tulud-kulud projektiga'!L116-'3. Tulud-kulud projektita'!L116</f>
        <v>17680</v>
      </c>
      <c r="M116" s="59">
        <f>'2. Tulud-kulud projektiga'!M116-'3. Tulud-kulud projektita'!M116</f>
        <v>17732</v>
      </c>
      <c r="N116" s="59">
        <f>'2. Tulud-kulud projektiga'!N116-'3. Tulud-kulud projektita'!N116</f>
        <v>17732</v>
      </c>
      <c r="O116" s="59">
        <f>'2. Tulud-kulud projektiga'!O116-'3. Tulud-kulud projektita'!O116</f>
        <v>17732</v>
      </c>
      <c r="P116" s="59">
        <f>'2. Tulud-kulud projektiga'!P116-'3. Tulud-kulud projektita'!P116</f>
        <v>17732</v>
      </c>
      <c r="Q116" s="59">
        <f>'2. Tulud-kulud projektiga'!Q116-'3. Tulud-kulud projektita'!Q116</f>
        <v>17732</v>
      </c>
      <c r="R116" s="59">
        <f>'2. Tulud-kulud projektiga'!R116-'3. Tulud-kulud projektita'!R116</f>
        <v>53732</v>
      </c>
      <c r="S116" s="20"/>
      <c r="T116" s="20"/>
      <c r="U116" s="21"/>
    </row>
    <row r="117" spans="1:21" ht="4.5" customHeight="1" x14ac:dyDescent="0.35">
      <c r="A117" s="4"/>
      <c r="B117" s="25"/>
      <c r="C117" s="9"/>
      <c r="D117" s="18"/>
      <c r="E117" s="18"/>
      <c r="F117" s="18"/>
      <c r="G117" s="18"/>
      <c r="H117" s="18"/>
      <c r="I117" s="18"/>
      <c r="J117" s="18"/>
      <c r="K117" s="18"/>
      <c r="L117" s="18"/>
      <c r="M117" s="18"/>
      <c r="N117" s="18"/>
      <c r="O117" s="18"/>
      <c r="P117" s="18"/>
      <c r="Q117" s="18"/>
      <c r="R117" s="18"/>
      <c r="S117" s="16"/>
      <c r="T117" s="16"/>
      <c r="U117" s="17"/>
    </row>
    <row r="118" spans="1:21" s="3" customFormat="1" ht="19.5" customHeight="1" x14ac:dyDescent="0.35">
      <c r="A118" s="803" t="s">
        <v>62</v>
      </c>
      <c r="B118" s="804"/>
      <c r="C118" s="57" t="s">
        <v>3</v>
      </c>
      <c r="D118" s="58">
        <f t="shared" ref="D118:K118" si="6">D80+D92+D104+D116</f>
        <v>0</v>
      </c>
      <c r="E118" s="58">
        <f t="shared" si="6"/>
        <v>0</v>
      </c>
      <c r="F118" s="58">
        <f t="shared" si="6"/>
        <v>62445.095704666666</v>
      </c>
      <c r="G118" s="58">
        <f t="shared" si="6"/>
        <v>153400.93111400001</v>
      </c>
      <c r="H118" s="58">
        <f t="shared" si="6"/>
        <v>153400.93111400001</v>
      </c>
      <c r="I118" s="58">
        <f t="shared" si="6"/>
        <v>153610.04336800001</v>
      </c>
      <c r="J118" s="58">
        <f t="shared" si="6"/>
        <v>153610.04336800001</v>
      </c>
      <c r="K118" s="58">
        <f t="shared" si="6"/>
        <v>153610.04336800001</v>
      </c>
      <c r="L118" s="58">
        <f t="shared" ref="L118:R118" si="7">L80+L92+L104+L116</f>
        <v>153610.04336800001</v>
      </c>
      <c r="M118" s="58">
        <f t="shared" si="7"/>
        <v>153923.15562199999</v>
      </c>
      <c r="N118" s="58">
        <f t="shared" si="7"/>
        <v>153923.15562199999</v>
      </c>
      <c r="O118" s="58">
        <f t="shared" si="7"/>
        <v>153923.15562199999</v>
      </c>
      <c r="P118" s="58">
        <f t="shared" si="7"/>
        <v>153923.15562199999</v>
      </c>
      <c r="Q118" s="58">
        <f t="shared" si="7"/>
        <v>153923.15562199999</v>
      </c>
      <c r="R118" s="58">
        <f t="shared" si="7"/>
        <v>189923.15562199999</v>
      </c>
      <c r="S118" s="13"/>
      <c r="T118" s="13"/>
      <c r="U118" s="6"/>
    </row>
    <row r="119" spans="1:21" ht="4.5" customHeight="1" x14ac:dyDescent="0.35">
      <c r="A119" s="4"/>
      <c r="B119" s="25"/>
      <c r="C119" s="9"/>
      <c r="D119" s="18"/>
      <c r="E119" s="18"/>
      <c r="F119" s="18"/>
      <c r="G119" s="18"/>
      <c r="H119" s="18"/>
      <c r="I119" s="18"/>
      <c r="J119" s="18"/>
      <c r="K119" s="18"/>
      <c r="L119" s="18"/>
      <c r="M119" s="18"/>
      <c r="N119" s="18"/>
      <c r="O119" s="18"/>
      <c r="P119" s="18"/>
      <c r="Q119" s="18"/>
      <c r="R119" s="18"/>
      <c r="S119" s="16"/>
      <c r="T119" s="16"/>
      <c r="U119" s="17"/>
    </row>
    <row r="120" spans="1:21" s="69" customFormat="1" ht="23.25" customHeight="1" x14ac:dyDescent="0.35">
      <c r="A120" s="63"/>
      <c r="B120" s="64"/>
      <c r="C120" s="65"/>
      <c r="D120" s="66" t="b">
        <f>D118=('2. Tulud-kulud projektiga'!D118-'3. Tulud-kulud projektita'!D118)</f>
        <v>1</v>
      </c>
      <c r="E120" s="66" t="b">
        <f>E118=('2. Tulud-kulud projektiga'!E118-'3. Tulud-kulud projektita'!E118)</f>
        <v>1</v>
      </c>
      <c r="F120" s="66" t="b">
        <f>F118=('2. Tulud-kulud projektiga'!F118-'3. Tulud-kulud projektita'!F118)</f>
        <v>1</v>
      </c>
      <c r="G120" s="66" t="b">
        <f>G118=('2. Tulud-kulud projektiga'!G118-'3. Tulud-kulud projektita'!G118)</f>
        <v>1</v>
      </c>
      <c r="H120" s="66" t="b">
        <f>H118=('2. Tulud-kulud projektiga'!H118-'3. Tulud-kulud projektita'!H118)</f>
        <v>1</v>
      </c>
      <c r="I120" s="66" t="b">
        <f>I118=('2. Tulud-kulud projektiga'!I118-'3. Tulud-kulud projektita'!I118)</f>
        <v>1</v>
      </c>
      <c r="J120" s="66" t="b">
        <f>J118=('2. Tulud-kulud projektiga'!J118-'3. Tulud-kulud projektita'!J118)</f>
        <v>1</v>
      </c>
      <c r="K120" s="66" t="b">
        <f>K118=('2. Tulud-kulud projektiga'!K118-'3. Tulud-kulud projektita'!K118)</f>
        <v>1</v>
      </c>
      <c r="L120" s="66" t="b">
        <f>L118=('2. Tulud-kulud projektiga'!L118-'3. Tulud-kulud projektita'!L118)</f>
        <v>1</v>
      </c>
      <c r="M120" s="66" t="b">
        <f>M118=('2. Tulud-kulud projektiga'!M118-'3. Tulud-kulud projektita'!M118)</f>
        <v>1</v>
      </c>
      <c r="N120" s="66" t="b">
        <f>N118=('2. Tulud-kulud projektiga'!N118-'3. Tulud-kulud projektita'!N118)</f>
        <v>1</v>
      </c>
      <c r="O120" s="66" t="b">
        <f>O118=('2. Tulud-kulud projektiga'!O118-'3. Tulud-kulud projektita'!O118)</f>
        <v>1</v>
      </c>
      <c r="P120" s="66" t="b">
        <f>P118=('2. Tulud-kulud projektiga'!P118-'3. Tulud-kulud projektita'!P118)</f>
        <v>1</v>
      </c>
      <c r="Q120" s="66" t="b">
        <f>Q118=('2. Tulud-kulud projektiga'!Q118-'3. Tulud-kulud projektita'!Q118)</f>
        <v>1</v>
      </c>
      <c r="R120" s="66" t="b">
        <f>R118=('2. Tulud-kulud projektiga'!R118-'3. Tulud-kulud projektita'!R118)</f>
        <v>1</v>
      </c>
      <c r="S120" s="67"/>
      <c r="T120" s="67"/>
      <c r="U120" s="68"/>
    </row>
    <row r="121" spans="1:21" s="3" customFormat="1" ht="21" customHeight="1" x14ac:dyDescent="0.35">
      <c r="A121" s="805" t="s">
        <v>31</v>
      </c>
      <c r="B121" s="806"/>
      <c r="C121" s="22" t="s">
        <v>3</v>
      </c>
      <c r="D121" s="14">
        <f t="shared" ref="D121:K121" si="8">D53-D118</f>
        <v>0</v>
      </c>
      <c r="E121" s="14">
        <f t="shared" si="8"/>
        <v>0</v>
      </c>
      <c r="F121" s="14">
        <f t="shared" si="8"/>
        <v>-25754.441490800993</v>
      </c>
      <c r="G121" s="14">
        <f t="shared" si="8"/>
        <v>-43328.968472402994</v>
      </c>
      <c r="H121" s="14">
        <f t="shared" si="8"/>
        <v>-43328.968472402994</v>
      </c>
      <c r="I121" s="14">
        <f t="shared" si="8"/>
        <v>-5808.1191050415509</v>
      </c>
      <c r="J121" s="14">
        <f t="shared" si="8"/>
        <v>-5808.1191050415509</v>
      </c>
      <c r="K121" s="14">
        <f t="shared" si="8"/>
        <v>-5808.1191050415509</v>
      </c>
      <c r="L121" s="14">
        <f t="shared" ref="L121:R121" si="9">L53-L118</f>
        <v>-5808.1191050415509</v>
      </c>
      <c r="M121" s="14">
        <f t="shared" si="9"/>
        <v>31636.023777815804</v>
      </c>
      <c r="N121" s="14">
        <f t="shared" si="9"/>
        <v>31636.023777815804</v>
      </c>
      <c r="O121" s="14">
        <f t="shared" si="9"/>
        <v>31636.023777815804</v>
      </c>
      <c r="P121" s="14">
        <f t="shared" si="9"/>
        <v>31636.023777815804</v>
      </c>
      <c r="Q121" s="14">
        <f t="shared" si="9"/>
        <v>31636.023777815804</v>
      </c>
      <c r="R121" s="14">
        <f t="shared" si="9"/>
        <v>-4363.9762221841956</v>
      </c>
      <c r="S121" s="13"/>
      <c r="T121" s="13"/>
      <c r="U121" s="6"/>
    </row>
    <row r="122" spans="1:21" ht="4.5" customHeight="1" x14ac:dyDescent="0.35">
      <c r="A122" s="4"/>
      <c r="B122" s="25"/>
      <c r="C122" s="9"/>
      <c r="D122" s="18"/>
      <c r="E122" s="18"/>
      <c r="F122" s="18"/>
      <c r="G122" s="18"/>
      <c r="H122" s="18"/>
      <c r="I122" s="18"/>
      <c r="J122" s="18"/>
      <c r="K122" s="18"/>
      <c r="L122" s="18"/>
      <c r="M122" s="18"/>
      <c r="N122" s="18"/>
      <c r="O122" s="18"/>
      <c r="P122" s="18"/>
      <c r="Q122" s="18"/>
      <c r="R122" s="19"/>
      <c r="S122" s="16"/>
      <c r="T122" s="16"/>
      <c r="U122" s="17"/>
    </row>
    <row r="123" spans="1:21" x14ac:dyDescent="0.35">
      <c r="B123" s="24"/>
      <c r="C123" s="7"/>
      <c r="D123" s="67" t="b">
        <f>D121=('2. Tulud-kulud projektiga'!D121-'3. Tulud-kulud projektita'!D121)</f>
        <v>1</v>
      </c>
      <c r="E123" s="67" t="b">
        <f>E121=('2. Tulud-kulud projektiga'!E121-'3. Tulud-kulud projektita'!E121)</f>
        <v>1</v>
      </c>
      <c r="F123" s="67" t="b">
        <f>F121=('2. Tulud-kulud projektiga'!F121-'3. Tulud-kulud projektita'!F121)</f>
        <v>1</v>
      </c>
      <c r="G123" s="67" t="b">
        <f>G121=('2. Tulud-kulud projektiga'!G121-'3. Tulud-kulud projektita'!G121)</f>
        <v>1</v>
      </c>
      <c r="H123" s="67" t="b">
        <f>H121=('2. Tulud-kulud projektiga'!H121-'3. Tulud-kulud projektita'!H121)</f>
        <v>1</v>
      </c>
      <c r="I123" s="67" t="b">
        <f>I121=('2. Tulud-kulud projektiga'!I121-'3. Tulud-kulud projektita'!I121)</f>
        <v>1</v>
      </c>
      <c r="J123" s="67" t="b">
        <f>J121=('2. Tulud-kulud projektiga'!J121-'3. Tulud-kulud projektita'!J121)</f>
        <v>1</v>
      </c>
      <c r="K123" s="67" t="b">
        <f>K121=('2. Tulud-kulud projektiga'!K121-'3. Tulud-kulud projektita'!K121)</f>
        <v>1</v>
      </c>
      <c r="L123" s="67" t="b">
        <f>L121=('2. Tulud-kulud projektiga'!L121-'3. Tulud-kulud projektita'!L121)</f>
        <v>1</v>
      </c>
      <c r="M123" s="67" t="b">
        <f>M121=('2. Tulud-kulud projektiga'!M121-'3. Tulud-kulud projektita'!M121)</f>
        <v>1</v>
      </c>
      <c r="N123" s="67" t="b">
        <f>N121=('2. Tulud-kulud projektiga'!N121-'3. Tulud-kulud projektita'!N121)</f>
        <v>1</v>
      </c>
      <c r="O123" s="67" t="b">
        <f>O121=('2. Tulud-kulud projektiga'!O121-'3. Tulud-kulud projektita'!O121)</f>
        <v>1</v>
      </c>
      <c r="P123" s="67" t="b">
        <f>P121=('2. Tulud-kulud projektiga'!P121-'3. Tulud-kulud projektita'!P121)</f>
        <v>1</v>
      </c>
      <c r="Q123" s="67" t="b">
        <f>Q121=('2. Tulud-kulud projektiga'!Q121-'3. Tulud-kulud projektita'!Q121)</f>
        <v>1</v>
      </c>
      <c r="R123" s="67" t="b">
        <f>R121=('2. Tulud-kulud projektiga'!R121-'3. Tulud-kulud projektita'!R121)</f>
        <v>1</v>
      </c>
      <c r="S123" s="16"/>
      <c r="T123" s="16"/>
      <c r="U123" s="17"/>
    </row>
    <row r="124" spans="1:21" ht="9" customHeight="1" x14ac:dyDescent="0.35">
      <c r="B124" s="24"/>
      <c r="C124" s="7"/>
      <c r="D124" s="16"/>
      <c r="E124" s="16"/>
      <c r="F124" s="16"/>
      <c r="G124" s="16"/>
      <c r="H124" s="16"/>
      <c r="I124" s="16"/>
      <c r="J124" s="16"/>
      <c r="K124" s="16"/>
      <c r="L124" s="16"/>
      <c r="M124" s="16"/>
      <c r="N124" s="16"/>
      <c r="O124" s="16"/>
      <c r="P124" s="16"/>
      <c r="Q124" s="16"/>
      <c r="R124" s="16"/>
      <c r="S124" s="16"/>
      <c r="T124" s="16"/>
      <c r="U124" s="17"/>
    </row>
    <row r="125" spans="1:21" ht="18.75" customHeight="1" x14ac:dyDescent="0.35">
      <c r="A125" s="805" t="s">
        <v>172</v>
      </c>
      <c r="B125" s="806"/>
      <c r="C125" s="22" t="s">
        <v>3</v>
      </c>
      <c r="D125" s="14">
        <f>D121</f>
        <v>0</v>
      </c>
      <c r="E125" s="14">
        <f>D125+E121</f>
        <v>0</v>
      </c>
      <c r="F125" s="14">
        <f t="shared" ref="F125:P125" si="10">E125+F121</f>
        <v>-25754.441490800993</v>
      </c>
      <c r="G125" s="14">
        <f t="shared" si="10"/>
        <v>-69083.409963203987</v>
      </c>
      <c r="H125" s="14">
        <f t="shared" si="10"/>
        <v>-112412.37843560698</v>
      </c>
      <c r="I125" s="14">
        <f t="shared" si="10"/>
        <v>-118220.49754064853</v>
      </c>
      <c r="J125" s="14">
        <f t="shared" si="10"/>
        <v>-124028.61664569008</v>
      </c>
      <c r="K125" s="14">
        <f t="shared" si="10"/>
        <v>-129836.73575073163</v>
      </c>
      <c r="L125" s="14">
        <f t="shared" si="10"/>
        <v>-135644.85485577318</v>
      </c>
      <c r="M125" s="14">
        <f t="shared" si="10"/>
        <v>-104008.83107795738</v>
      </c>
      <c r="N125" s="14">
        <f t="shared" si="10"/>
        <v>-72372.807300141576</v>
      </c>
      <c r="O125" s="14">
        <f t="shared" si="10"/>
        <v>-40736.783522325772</v>
      </c>
      <c r="P125" s="14">
        <f t="shared" si="10"/>
        <v>-9100.7597445099673</v>
      </c>
      <c r="Q125" s="14">
        <f t="shared" ref="Q125" si="11">P125+Q121</f>
        <v>22535.264033305837</v>
      </c>
      <c r="R125" s="14">
        <f t="shared" ref="R125" si="12">Q125+R121</f>
        <v>18171.287811121641</v>
      </c>
      <c r="S125" s="16"/>
      <c r="T125" s="16"/>
      <c r="U125" s="17"/>
    </row>
    <row r="126" spans="1:21" ht="4.5" customHeight="1" x14ac:dyDescent="0.35">
      <c r="A126" s="4"/>
      <c r="B126" s="25"/>
      <c r="C126" s="9"/>
      <c r="D126" s="18"/>
      <c r="E126" s="18"/>
      <c r="F126" s="18"/>
      <c r="G126" s="18"/>
      <c r="H126" s="18"/>
      <c r="I126" s="18"/>
      <c r="J126" s="18"/>
      <c r="K126" s="18"/>
      <c r="L126" s="18"/>
      <c r="M126" s="18"/>
      <c r="N126" s="18"/>
      <c r="O126" s="18"/>
      <c r="P126" s="18"/>
      <c r="Q126" s="18"/>
      <c r="R126" s="19"/>
      <c r="S126" s="16"/>
      <c r="T126" s="16"/>
      <c r="U126" s="17"/>
    </row>
    <row r="127" spans="1:21" x14ac:dyDescent="0.35">
      <c r="B127" s="24"/>
      <c r="C127" s="7"/>
      <c r="D127" s="67"/>
      <c r="E127" s="67"/>
      <c r="F127" s="67"/>
      <c r="G127" s="67"/>
      <c r="H127" s="67"/>
      <c r="I127" s="67"/>
      <c r="J127" s="67"/>
      <c r="K127" s="67"/>
      <c r="L127" s="67"/>
      <c r="M127" s="67"/>
      <c r="N127" s="67"/>
      <c r="O127" s="67"/>
      <c r="P127" s="67"/>
      <c r="Q127" s="67"/>
      <c r="R127" s="67"/>
      <c r="S127" s="16"/>
      <c r="T127" s="16"/>
      <c r="U127" s="17"/>
    </row>
    <row r="128" spans="1:21" x14ac:dyDescent="0.35">
      <c r="B128" s="24"/>
      <c r="C128" s="7"/>
      <c r="D128" s="16"/>
      <c r="E128" s="16"/>
      <c r="F128" s="16"/>
      <c r="G128" s="16"/>
      <c r="H128" s="16"/>
      <c r="I128" s="16"/>
      <c r="J128" s="16"/>
      <c r="K128" s="16"/>
      <c r="L128" s="16"/>
      <c r="M128" s="16"/>
      <c r="N128" s="16"/>
      <c r="O128" s="16"/>
      <c r="P128" s="16"/>
      <c r="Q128" s="16"/>
      <c r="R128" s="16"/>
      <c r="S128" s="16"/>
      <c r="T128" s="16"/>
      <c r="U128" s="17"/>
    </row>
    <row r="129" spans="2:21" x14ac:dyDescent="0.35">
      <c r="B129" s="24"/>
      <c r="C129" s="7"/>
      <c r="D129" s="16"/>
      <c r="E129" s="16"/>
      <c r="F129" s="16"/>
      <c r="G129" s="16"/>
      <c r="H129" s="16"/>
      <c r="I129" s="16"/>
      <c r="J129" s="16"/>
      <c r="K129" s="16"/>
      <c r="L129" s="16"/>
      <c r="M129" s="16"/>
      <c r="N129" s="16"/>
      <c r="O129" s="16"/>
      <c r="P129" s="16"/>
      <c r="Q129" s="16"/>
      <c r="R129" s="16"/>
      <c r="S129" s="16"/>
      <c r="T129" s="16"/>
      <c r="U129" s="17"/>
    </row>
    <row r="130" spans="2:21" x14ac:dyDescent="0.35">
      <c r="B130" s="24"/>
      <c r="C130" s="7"/>
      <c r="D130" s="16"/>
      <c r="E130" s="16"/>
      <c r="F130" s="16"/>
      <c r="G130" s="16"/>
      <c r="H130" s="16"/>
      <c r="I130" s="16"/>
      <c r="J130" s="16"/>
      <c r="K130" s="16"/>
      <c r="L130" s="16"/>
      <c r="M130" s="16"/>
      <c r="N130" s="16"/>
      <c r="O130" s="16"/>
      <c r="P130" s="16"/>
      <c r="Q130" s="16"/>
      <c r="R130" s="16"/>
      <c r="S130" s="16"/>
      <c r="T130" s="16"/>
      <c r="U130" s="17"/>
    </row>
    <row r="131" spans="2:21" x14ac:dyDescent="0.35">
      <c r="B131" s="24"/>
      <c r="C131" s="7"/>
      <c r="D131" s="16"/>
      <c r="E131" s="16"/>
      <c r="F131" s="16"/>
      <c r="G131" s="16"/>
      <c r="H131" s="16"/>
      <c r="I131" s="16"/>
      <c r="J131" s="16"/>
      <c r="K131" s="16"/>
      <c r="L131" s="16"/>
      <c r="M131" s="16"/>
      <c r="N131" s="16"/>
      <c r="O131" s="16"/>
      <c r="P131" s="16"/>
      <c r="Q131" s="16"/>
      <c r="R131" s="16"/>
      <c r="S131" s="16"/>
      <c r="T131" s="16"/>
      <c r="U131" s="17"/>
    </row>
    <row r="132" spans="2:21" x14ac:dyDescent="0.35">
      <c r="B132" s="24"/>
      <c r="C132" s="7"/>
      <c r="D132" s="16"/>
      <c r="E132" s="16"/>
      <c r="F132" s="16"/>
      <c r="G132" s="16"/>
      <c r="H132" s="16"/>
      <c r="I132" s="16"/>
      <c r="J132" s="16"/>
      <c r="K132" s="16"/>
      <c r="L132" s="16"/>
      <c r="M132" s="16"/>
      <c r="N132" s="16"/>
      <c r="O132" s="16"/>
      <c r="P132" s="16"/>
      <c r="Q132" s="16"/>
      <c r="R132" s="16"/>
      <c r="S132" s="16"/>
      <c r="T132" s="16"/>
      <c r="U132" s="17"/>
    </row>
    <row r="133" spans="2:21" x14ac:dyDescent="0.35">
      <c r="B133" s="24"/>
      <c r="C133" s="7"/>
      <c r="D133" s="16"/>
      <c r="E133" s="16"/>
      <c r="F133" s="16"/>
      <c r="G133" s="16"/>
      <c r="H133" s="16"/>
      <c r="I133" s="16"/>
      <c r="J133" s="16"/>
      <c r="K133" s="16"/>
      <c r="L133" s="16"/>
      <c r="M133" s="16"/>
      <c r="N133" s="16"/>
      <c r="O133" s="16"/>
      <c r="P133" s="16"/>
      <c r="Q133" s="16"/>
      <c r="R133" s="16"/>
      <c r="S133" s="16"/>
      <c r="T133" s="16"/>
      <c r="U133" s="17"/>
    </row>
    <row r="134" spans="2:21" x14ac:dyDescent="0.35">
      <c r="B134" s="24"/>
      <c r="C134" s="7"/>
      <c r="D134" s="16"/>
      <c r="E134" s="16"/>
      <c r="F134" s="16"/>
      <c r="G134" s="16"/>
      <c r="H134" s="16"/>
      <c r="I134" s="16"/>
      <c r="J134" s="16"/>
      <c r="K134" s="16"/>
      <c r="L134" s="16"/>
      <c r="M134" s="16"/>
      <c r="N134" s="16"/>
      <c r="O134" s="16"/>
      <c r="P134" s="16"/>
      <c r="Q134" s="16"/>
      <c r="R134" s="16"/>
      <c r="S134" s="16"/>
      <c r="T134" s="16"/>
      <c r="U134" s="17"/>
    </row>
    <row r="135" spans="2:21" x14ac:dyDescent="0.35">
      <c r="B135" s="24"/>
      <c r="C135" s="7"/>
      <c r="D135" s="16"/>
      <c r="E135" s="16"/>
      <c r="F135" s="16"/>
      <c r="G135" s="16"/>
      <c r="H135" s="16"/>
      <c r="I135" s="16"/>
      <c r="J135" s="16"/>
      <c r="K135" s="16"/>
      <c r="L135" s="16"/>
      <c r="M135" s="16"/>
      <c r="N135" s="16"/>
      <c r="O135" s="16"/>
      <c r="P135" s="16"/>
      <c r="Q135" s="16"/>
      <c r="R135" s="16"/>
      <c r="S135" s="16"/>
      <c r="T135" s="16"/>
      <c r="U135" s="17"/>
    </row>
    <row r="136" spans="2:21" x14ac:dyDescent="0.35">
      <c r="B136" s="24"/>
      <c r="C136" s="7"/>
      <c r="D136" s="16"/>
      <c r="E136" s="16"/>
      <c r="F136" s="16"/>
      <c r="G136" s="16"/>
      <c r="H136" s="16"/>
      <c r="I136" s="16"/>
      <c r="J136" s="16"/>
      <c r="K136" s="16"/>
      <c r="L136" s="16"/>
      <c r="M136" s="16"/>
      <c r="N136" s="16"/>
      <c r="O136" s="16"/>
      <c r="P136" s="16"/>
      <c r="Q136" s="16"/>
      <c r="R136" s="16"/>
      <c r="S136" s="16"/>
      <c r="T136" s="16"/>
      <c r="U136" s="17"/>
    </row>
    <row r="137" spans="2:21" x14ac:dyDescent="0.35">
      <c r="B137" s="24"/>
      <c r="C137" s="7"/>
      <c r="D137" s="16"/>
      <c r="E137" s="16"/>
      <c r="F137" s="16"/>
      <c r="G137" s="16"/>
      <c r="H137" s="16"/>
      <c r="I137" s="16"/>
      <c r="J137" s="16"/>
      <c r="K137" s="16"/>
      <c r="L137" s="16"/>
      <c r="M137" s="16"/>
      <c r="N137" s="16"/>
      <c r="O137" s="16"/>
      <c r="P137" s="16"/>
      <c r="Q137" s="16"/>
      <c r="R137" s="16"/>
      <c r="S137" s="16"/>
      <c r="T137" s="16"/>
      <c r="U137" s="17"/>
    </row>
    <row r="138" spans="2:21" x14ac:dyDescent="0.35">
      <c r="B138" s="24"/>
      <c r="C138" s="7"/>
      <c r="D138" s="16"/>
      <c r="E138" s="16"/>
      <c r="F138" s="16"/>
      <c r="G138" s="16"/>
      <c r="H138" s="16"/>
      <c r="I138" s="16"/>
      <c r="J138" s="16"/>
      <c r="K138" s="16"/>
      <c r="L138" s="16"/>
      <c r="M138" s="16"/>
      <c r="N138" s="16"/>
      <c r="O138" s="16"/>
      <c r="P138" s="16"/>
      <c r="Q138" s="16"/>
      <c r="R138" s="16"/>
      <c r="S138" s="16"/>
      <c r="T138" s="16"/>
      <c r="U138" s="17"/>
    </row>
    <row r="139" spans="2:21" x14ac:dyDescent="0.35">
      <c r="B139" s="24"/>
      <c r="C139" s="7"/>
      <c r="D139" s="16"/>
      <c r="E139" s="16"/>
      <c r="F139" s="16"/>
      <c r="G139" s="16"/>
      <c r="H139" s="16"/>
      <c r="I139" s="16"/>
      <c r="J139" s="16"/>
      <c r="K139" s="16"/>
      <c r="L139" s="16"/>
      <c r="M139" s="16"/>
      <c r="N139" s="16"/>
      <c r="O139" s="16"/>
      <c r="P139" s="16"/>
      <c r="Q139" s="16"/>
      <c r="R139" s="16"/>
      <c r="S139" s="16"/>
      <c r="T139" s="16"/>
      <c r="U139" s="17"/>
    </row>
    <row r="140" spans="2:21" x14ac:dyDescent="0.35">
      <c r="B140" s="24"/>
      <c r="C140" s="7"/>
      <c r="D140" s="16"/>
      <c r="E140" s="16"/>
      <c r="F140" s="16"/>
      <c r="G140" s="16"/>
      <c r="H140" s="16"/>
      <c r="I140" s="16"/>
      <c r="J140" s="16"/>
      <c r="K140" s="16"/>
      <c r="L140" s="16"/>
      <c r="M140" s="16"/>
      <c r="N140" s="16"/>
      <c r="O140" s="16"/>
      <c r="P140" s="16"/>
      <c r="Q140" s="16"/>
      <c r="R140" s="16"/>
      <c r="S140" s="16"/>
      <c r="T140" s="16"/>
      <c r="U140" s="17"/>
    </row>
    <row r="141" spans="2:21" x14ac:dyDescent="0.35">
      <c r="B141" s="24"/>
      <c r="C141" s="7"/>
      <c r="D141" s="16"/>
      <c r="E141" s="16"/>
      <c r="F141" s="16"/>
      <c r="G141" s="16"/>
      <c r="H141" s="16"/>
      <c r="I141" s="16"/>
      <c r="J141" s="16"/>
      <c r="K141" s="16"/>
      <c r="L141" s="16"/>
      <c r="M141" s="16"/>
      <c r="N141" s="16"/>
      <c r="O141" s="16"/>
      <c r="P141" s="16"/>
      <c r="Q141" s="16"/>
      <c r="R141" s="16"/>
      <c r="S141" s="16"/>
      <c r="T141" s="16"/>
      <c r="U141" s="17"/>
    </row>
    <row r="142" spans="2:21" x14ac:dyDescent="0.35">
      <c r="B142" s="24"/>
      <c r="C142" s="7"/>
      <c r="D142" s="16"/>
      <c r="E142" s="16"/>
      <c r="F142" s="16"/>
      <c r="G142" s="16"/>
      <c r="H142" s="16"/>
      <c r="I142" s="16"/>
      <c r="J142" s="16"/>
      <c r="K142" s="16"/>
      <c r="L142" s="16"/>
      <c r="M142" s="16"/>
      <c r="N142" s="16"/>
      <c r="O142" s="16"/>
      <c r="P142" s="16"/>
      <c r="Q142" s="16"/>
      <c r="R142" s="16"/>
      <c r="S142" s="16"/>
      <c r="T142" s="16"/>
      <c r="U142" s="17"/>
    </row>
    <row r="143" spans="2:21" x14ac:dyDescent="0.35">
      <c r="B143" s="24"/>
      <c r="C143" s="7"/>
      <c r="D143" s="16"/>
      <c r="E143" s="16"/>
      <c r="F143" s="16"/>
      <c r="G143" s="16"/>
      <c r="H143" s="16"/>
      <c r="I143" s="16"/>
      <c r="J143" s="16"/>
      <c r="K143" s="16"/>
      <c r="L143" s="16"/>
      <c r="M143" s="16"/>
      <c r="N143" s="16"/>
      <c r="O143" s="16"/>
      <c r="P143" s="16"/>
      <c r="Q143" s="16"/>
      <c r="R143" s="16"/>
      <c r="S143" s="16"/>
      <c r="T143" s="16"/>
      <c r="U143" s="17"/>
    </row>
    <row r="144" spans="2:21" x14ac:dyDescent="0.35">
      <c r="B144" s="24"/>
      <c r="C144" s="7"/>
      <c r="D144" s="16"/>
      <c r="E144" s="16"/>
      <c r="F144" s="16"/>
      <c r="G144" s="16"/>
      <c r="H144" s="16"/>
      <c r="I144" s="16"/>
      <c r="J144" s="16"/>
      <c r="K144" s="16"/>
      <c r="L144" s="16"/>
      <c r="M144" s="16"/>
      <c r="N144" s="16"/>
      <c r="O144" s="16"/>
      <c r="P144" s="16"/>
      <c r="Q144" s="16"/>
      <c r="R144" s="16"/>
      <c r="S144" s="16"/>
      <c r="T144" s="16"/>
      <c r="U144" s="17"/>
    </row>
    <row r="145" spans="2:21" x14ac:dyDescent="0.35">
      <c r="B145" s="24"/>
      <c r="C145" s="7"/>
      <c r="D145" s="16"/>
      <c r="E145" s="16"/>
      <c r="F145" s="16"/>
      <c r="G145" s="16"/>
      <c r="H145" s="16"/>
      <c r="I145" s="16"/>
      <c r="J145" s="16"/>
      <c r="K145" s="16"/>
      <c r="L145" s="16"/>
      <c r="M145" s="16"/>
      <c r="N145" s="16"/>
      <c r="O145" s="16"/>
      <c r="P145" s="16"/>
      <c r="Q145" s="16"/>
      <c r="R145" s="16"/>
      <c r="S145" s="16"/>
      <c r="T145" s="16"/>
      <c r="U145" s="17"/>
    </row>
    <row r="146" spans="2:21" x14ac:dyDescent="0.35">
      <c r="B146" s="24"/>
      <c r="C146" s="7"/>
      <c r="D146" s="16"/>
      <c r="E146" s="16"/>
      <c r="F146" s="16"/>
      <c r="G146" s="16"/>
      <c r="H146" s="16"/>
      <c r="I146" s="16"/>
      <c r="J146" s="16"/>
      <c r="K146" s="16"/>
      <c r="L146" s="16"/>
      <c r="M146" s="16"/>
      <c r="N146" s="16"/>
      <c r="O146" s="16"/>
      <c r="P146" s="16"/>
      <c r="Q146" s="16"/>
      <c r="R146" s="16"/>
      <c r="S146" s="16"/>
      <c r="T146" s="16"/>
      <c r="U146" s="17"/>
    </row>
    <row r="147" spans="2:21" x14ac:dyDescent="0.35">
      <c r="B147" s="24"/>
      <c r="C147" s="7"/>
      <c r="D147" s="16"/>
      <c r="E147" s="16"/>
      <c r="F147" s="16"/>
      <c r="G147" s="16"/>
      <c r="H147" s="16"/>
      <c r="I147" s="16"/>
      <c r="J147" s="16"/>
      <c r="K147" s="16"/>
      <c r="L147" s="16"/>
      <c r="M147" s="16"/>
      <c r="N147" s="16"/>
      <c r="O147" s="16"/>
      <c r="P147" s="16"/>
      <c r="Q147" s="16"/>
      <c r="R147" s="16"/>
      <c r="S147" s="16"/>
      <c r="T147" s="16"/>
      <c r="U147" s="17"/>
    </row>
    <row r="148" spans="2:21" x14ac:dyDescent="0.35">
      <c r="B148" s="24"/>
      <c r="C148" s="7"/>
      <c r="D148" s="16"/>
      <c r="E148" s="16"/>
      <c r="F148" s="16"/>
      <c r="G148" s="16"/>
      <c r="H148" s="16"/>
      <c r="I148" s="16"/>
      <c r="J148" s="16"/>
      <c r="K148" s="16"/>
      <c r="L148" s="16"/>
      <c r="M148" s="16"/>
      <c r="N148" s="16"/>
      <c r="O148" s="16"/>
      <c r="P148" s="16"/>
      <c r="Q148" s="16"/>
      <c r="R148" s="16"/>
      <c r="S148" s="16"/>
      <c r="T148" s="16"/>
      <c r="U148" s="17"/>
    </row>
    <row r="149" spans="2:21" x14ac:dyDescent="0.35">
      <c r="B149" s="24"/>
      <c r="C149" s="7"/>
      <c r="D149" s="16"/>
      <c r="E149" s="16"/>
      <c r="F149" s="16"/>
      <c r="G149" s="16"/>
      <c r="H149" s="16"/>
      <c r="I149" s="16"/>
      <c r="J149" s="16"/>
      <c r="K149" s="16"/>
      <c r="L149" s="16"/>
      <c r="M149" s="16"/>
      <c r="N149" s="16"/>
      <c r="O149" s="16"/>
      <c r="P149" s="16"/>
      <c r="Q149" s="16"/>
      <c r="R149" s="16"/>
      <c r="S149" s="16"/>
      <c r="T149" s="16"/>
      <c r="U149" s="17"/>
    </row>
    <row r="150" spans="2:21" x14ac:dyDescent="0.35">
      <c r="B150" s="24"/>
      <c r="C150" s="7"/>
      <c r="D150" s="16"/>
      <c r="E150" s="16"/>
      <c r="F150" s="16"/>
      <c r="G150" s="16"/>
      <c r="H150" s="16"/>
      <c r="I150" s="16"/>
      <c r="J150" s="16"/>
      <c r="K150" s="16"/>
      <c r="L150" s="16"/>
      <c r="M150" s="16"/>
      <c r="N150" s="16"/>
      <c r="O150" s="16"/>
      <c r="P150" s="16"/>
      <c r="Q150" s="16"/>
      <c r="R150" s="16"/>
      <c r="S150" s="16"/>
      <c r="T150" s="16"/>
      <c r="U150" s="17"/>
    </row>
    <row r="151" spans="2:21" x14ac:dyDescent="0.35">
      <c r="B151" s="24"/>
      <c r="C151" s="7"/>
      <c r="D151" s="16"/>
      <c r="E151" s="16"/>
      <c r="F151" s="16"/>
      <c r="G151" s="16"/>
      <c r="H151" s="16"/>
      <c r="I151" s="16"/>
      <c r="J151" s="16"/>
      <c r="K151" s="16"/>
      <c r="L151" s="16"/>
      <c r="M151" s="16"/>
      <c r="N151" s="16"/>
      <c r="O151" s="16"/>
      <c r="P151" s="16"/>
      <c r="Q151" s="16"/>
      <c r="R151" s="16"/>
      <c r="S151" s="16"/>
      <c r="T151" s="16"/>
      <c r="U151" s="17"/>
    </row>
    <row r="152" spans="2:21" x14ac:dyDescent="0.35">
      <c r="B152" s="24"/>
      <c r="C152" s="7"/>
      <c r="D152" s="16"/>
      <c r="E152" s="16"/>
      <c r="F152" s="16"/>
      <c r="G152" s="16"/>
      <c r="H152" s="16"/>
      <c r="I152" s="16"/>
      <c r="J152" s="16"/>
      <c r="K152" s="16"/>
      <c r="L152" s="16"/>
      <c r="M152" s="16"/>
      <c r="N152" s="16"/>
      <c r="O152" s="16"/>
      <c r="P152" s="16"/>
      <c r="Q152" s="16"/>
      <c r="R152" s="16"/>
      <c r="S152" s="16"/>
      <c r="T152" s="16"/>
      <c r="U152" s="17"/>
    </row>
    <row r="153" spans="2:21" x14ac:dyDescent="0.35">
      <c r="B153" s="24"/>
      <c r="C153" s="7"/>
      <c r="D153" s="16"/>
      <c r="E153" s="16"/>
      <c r="F153" s="16"/>
      <c r="G153" s="16"/>
      <c r="H153" s="16"/>
      <c r="I153" s="16"/>
      <c r="J153" s="16"/>
      <c r="K153" s="16"/>
      <c r="L153" s="16"/>
      <c r="M153" s="16"/>
      <c r="N153" s="16"/>
      <c r="O153" s="16"/>
      <c r="P153" s="16"/>
      <c r="Q153" s="16"/>
      <c r="R153" s="16"/>
      <c r="S153" s="16"/>
      <c r="T153" s="16"/>
      <c r="U153" s="17"/>
    </row>
    <row r="154" spans="2:21" x14ac:dyDescent="0.35">
      <c r="B154" s="24"/>
      <c r="C154" s="7"/>
      <c r="D154" s="16"/>
      <c r="E154" s="16"/>
      <c r="F154" s="16"/>
      <c r="G154" s="16"/>
      <c r="H154" s="16"/>
      <c r="I154" s="16"/>
      <c r="J154" s="16"/>
      <c r="K154" s="16"/>
      <c r="L154" s="16"/>
      <c r="M154" s="16"/>
      <c r="N154" s="16"/>
      <c r="O154" s="16"/>
      <c r="P154" s="16"/>
      <c r="Q154" s="16"/>
      <c r="R154" s="16"/>
      <c r="S154" s="16"/>
      <c r="T154" s="16"/>
      <c r="U154" s="17"/>
    </row>
    <row r="155" spans="2:21" x14ac:dyDescent="0.35">
      <c r="B155" s="24"/>
      <c r="C155" s="7"/>
      <c r="D155" s="16"/>
      <c r="E155" s="16"/>
      <c r="F155" s="16"/>
      <c r="G155" s="16"/>
      <c r="H155" s="16"/>
      <c r="I155" s="16"/>
      <c r="J155" s="16"/>
      <c r="K155" s="16"/>
      <c r="L155" s="16"/>
      <c r="M155" s="16"/>
      <c r="N155" s="16"/>
      <c r="O155" s="16"/>
      <c r="P155" s="16"/>
      <c r="Q155" s="16"/>
      <c r="R155" s="16"/>
      <c r="S155" s="16"/>
      <c r="T155" s="16"/>
      <c r="U155" s="17"/>
    </row>
    <row r="156" spans="2:21" x14ac:dyDescent="0.35">
      <c r="B156" s="24"/>
      <c r="C156" s="7"/>
      <c r="D156" s="16"/>
      <c r="E156" s="16"/>
      <c r="F156" s="16"/>
      <c r="G156" s="16"/>
      <c r="H156" s="16"/>
      <c r="I156" s="16"/>
      <c r="J156" s="16"/>
      <c r="K156" s="16"/>
      <c r="L156" s="16"/>
      <c r="M156" s="16"/>
      <c r="N156" s="16"/>
      <c r="O156" s="16"/>
      <c r="P156" s="16"/>
      <c r="Q156" s="16"/>
      <c r="R156" s="16"/>
      <c r="S156" s="16"/>
      <c r="T156" s="16"/>
      <c r="U156" s="17"/>
    </row>
    <row r="157" spans="2:21" x14ac:dyDescent="0.35">
      <c r="B157" s="24"/>
      <c r="C157" s="7"/>
      <c r="D157" s="16"/>
      <c r="E157" s="16"/>
      <c r="F157" s="16"/>
      <c r="G157" s="16"/>
      <c r="H157" s="16"/>
      <c r="I157" s="16"/>
      <c r="J157" s="16"/>
      <c r="K157" s="16"/>
      <c r="L157" s="16"/>
      <c r="M157" s="16"/>
      <c r="N157" s="16"/>
      <c r="O157" s="16"/>
      <c r="P157" s="16"/>
      <c r="Q157" s="16"/>
      <c r="R157" s="16"/>
      <c r="S157" s="16"/>
      <c r="T157" s="16"/>
      <c r="U157" s="17"/>
    </row>
    <row r="158" spans="2:21" x14ac:dyDescent="0.35">
      <c r="B158" s="24"/>
      <c r="C158" s="7"/>
      <c r="D158" s="16"/>
      <c r="E158" s="16"/>
      <c r="F158" s="16"/>
      <c r="G158" s="16"/>
      <c r="H158" s="16"/>
      <c r="I158" s="16"/>
      <c r="J158" s="16"/>
      <c r="K158" s="16"/>
      <c r="L158" s="16"/>
      <c r="M158" s="16"/>
      <c r="N158" s="16"/>
      <c r="O158" s="16"/>
      <c r="P158" s="16"/>
      <c r="Q158" s="16"/>
      <c r="R158" s="16"/>
      <c r="S158" s="16"/>
      <c r="T158" s="16"/>
      <c r="U158" s="17"/>
    </row>
    <row r="159" spans="2:21" x14ac:dyDescent="0.35">
      <c r="B159" s="24"/>
      <c r="C159" s="7"/>
      <c r="D159" s="16"/>
      <c r="E159" s="16"/>
      <c r="F159" s="16"/>
      <c r="G159" s="16"/>
      <c r="H159" s="16"/>
      <c r="I159" s="16"/>
      <c r="J159" s="16"/>
      <c r="K159" s="16"/>
      <c r="L159" s="16"/>
      <c r="M159" s="16"/>
      <c r="N159" s="16"/>
      <c r="O159" s="16"/>
      <c r="P159" s="16"/>
      <c r="Q159" s="16"/>
      <c r="R159" s="16"/>
      <c r="S159" s="16"/>
      <c r="T159" s="16"/>
      <c r="U159" s="17"/>
    </row>
    <row r="160" spans="2:21" x14ac:dyDescent="0.35">
      <c r="B160" s="24"/>
      <c r="C160" s="7"/>
      <c r="D160" s="16"/>
      <c r="E160" s="16"/>
      <c r="F160" s="16"/>
      <c r="G160" s="16"/>
      <c r="H160" s="16"/>
      <c r="I160" s="16"/>
      <c r="J160" s="16"/>
      <c r="K160" s="16"/>
      <c r="L160" s="16"/>
      <c r="M160" s="16"/>
      <c r="N160" s="16"/>
      <c r="O160" s="16"/>
      <c r="P160" s="16"/>
      <c r="Q160" s="16"/>
      <c r="R160" s="16"/>
      <c r="S160" s="16"/>
      <c r="T160" s="16"/>
      <c r="U160" s="17"/>
    </row>
    <row r="161" spans="2:21" x14ac:dyDescent="0.35">
      <c r="B161" s="24"/>
      <c r="C161" s="7"/>
      <c r="D161" s="16"/>
      <c r="E161" s="16"/>
      <c r="F161" s="16"/>
      <c r="G161" s="16"/>
      <c r="H161" s="16"/>
      <c r="I161" s="16"/>
      <c r="J161" s="16"/>
      <c r="K161" s="16"/>
      <c r="L161" s="16"/>
      <c r="M161" s="16"/>
      <c r="N161" s="16"/>
      <c r="O161" s="16"/>
      <c r="P161" s="16"/>
      <c r="Q161" s="16"/>
      <c r="R161" s="16"/>
      <c r="S161" s="16"/>
      <c r="T161" s="16"/>
      <c r="U161" s="17"/>
    </row>
    <row r="162" spans="2:21" x14ac:dyDescent="0.35">
      <c r="B162" s="24"/>
      <c r="C162" s="7"/>
      <c r="D162" s="16"/>
      <c r="E162" s="16"/>
      <c r="F162" s="16"/>
      <c r="G162" s="16"/>
      <c r="H162" s="16"/>
      <c r="I162" s="16"/>
      <c r="J162" s="16"/>
      <c r="K162" s="16"/>
      <c r="L162" s="16"/>
      <c r="M162" s="16"/>
      <c r="N162" s="16"/>
      <c r="O162" s="16"/>
      <c r="P162" s="16"/>
      <c r="Q162" s="16"/>
      <c r="R162" s="16"/>
      <c r="S162" s="16"/>
      <c r="T162" s="16"/>
      <c r="U162" s="17"/>
    </row>
    <row r="163" spans="2:21" x14ac:dyDescent="0.35">
      <c r="B163" s="24"/>
      <c r="C163" s="7"/>
      <c r="D163" s="16"/>
      <c r="E163" s="16"/>
      <c r="F163" s="16"/>
      <c r="G163" s="16"/>
      <c r="H163" s="16"/>
      <c r="I163" s="16"/>
      <c r="J163" s="16"/>
      <c r="K163" s="16"/>
      <c r="L163" s="16"/>
      <c r="M163" s="16"/>
      <c r="N163" s="16"/>
      <c r="O163" s="16"/>
      <c r="P163" s="16"/>
      <c r="Q163" s="16"/>
      <c r="R163" s="16"/>
      <c r="S163" s="16"/>
      <c r="T163" s="16"/>
      <c r="U163" s="17"/>
    </row>
    <row r="164" spans="2:21" x14ac:dyDescent="0.35">
      <c r="B164" s="24"/>
      <c r="C164" s="7"/>
      <c r="D164" s="16"/>
      <c r="E164" s="16"/>
      <c r="F164" s="16"/>
      <c r="G164" s="16"/>
      <c r="H164" s="16"/>
      <c r="I164" s="16"/>
      <c r="J164" s="16"/>
      <c r="K164" s="16"/>
      <c r="L164" s="16"/>
      <c r="M164" s="16"/>
      <c r="N164" s="16"/>
      <c r="O164" s="16"/>
      <c r="P164" s="16"/>
      <c r="Q164" s="16"/>
      <c r="R164" s="16"/>
      <c r="S164" s="16"/>
      <c r="T164" s="16"/>
      <c r="U164" s="17"/>
    </row>
    <row r="165" spans="2:21" x14ac:dyDescent="0.35">
      <c r="B165" s="24"/>
      <c r="C165" s="7"/>
      <c r="D165" s="16"/>
      <c r="E165" s="16"/>
      <c r="F165" s="16"/>
      <c r="G165" s="16"/>
      <c r="H165" s="16"/>
      <c r="I165" s="16"/>
      <c r="J165" s="16"/>
      <c r="K165" s="16"/>
      <c r="L165" s="16"/>
      <c r="M165" s="16"/>
      <c r="N165" s="16"/>
      <c r="O165" s="16"/>
      <c r="P165" s="16"/>
      <c r="Q165" s="16"/>
      <c r="R165" s="16"/>
      <c r="S165" s="16"/>
      <c r="T165" s="16"/>
      <c r="U165" s="17"/>
    </row>
    <row r="166" spans="2:21" x14ac:dyDescent="0.35">
      <c r="B166" s="24"/>
      <c r="C166" s="7"/>
      <c r="D166" s="16"/>
      <c r="E166" s="16"/>
      <c r="F166" s="16"/>
      <c r="G166" s="16"/>
      <c r="H166" s="16"/>
      <c r="I166" s="16"/>
      <c r="J166" s="16"/>
      <c r="K166" s="16"/>
      <c r="L166" s="16"/>
      <c r="M166" s="16"/>
      <c r="N166" s="16"/>
      <c r="O166" s="16"/>
      <c r="P166" s="16"/>
      <c r="Q166" s="16"/>
      <c r="R166" s="16"/>
      <c r="S166" s="16"/>
      <c r="T166" s="16"/>
      <c r="U166" s="17"/>
    </row>
    <row r="167" spans="2:21" x14ac:dyDescent="0.35">
      <c r="B167" s="24"/>
      <c r="C167" s="7"/>
      <c r="D167" s="16"/>
      <c r="E167" s="16"/>
      <c r="F167" s="16"/>
      <c r="G167" s="16"/>
      <c r="H167" s="16"/>
      <c r="I167" s="16"/>
      <c r="J167" s="16"/>
      <c r="K167" s="16"/>
      <c r="L167" s="16"/>
      <c r="M167" s="16"/>
      <c r="N167" s="16"/>
      <c r="O167" s="16"/>
      <c r="P167" s="16"/>
      <c r="Q167" s="16"/>
      <c r="R167" s="16"/>
      <c r="S167" s="16"/>
      <c r="T167" s="16"/>
      <c r="U167" s="17"/>
    </row>
    <row r="168" spans="2:21" x14ac:dyDescent="0.35">
      <c r="B168" s="24"/>
      <c r="C168" s="7"/>
      <c r="D168" s="16"/>
      <c r="E168" s="16"/>
      <c r="F168" s="16"/>
      <c r="G168" s="16"/>
      <c r="H168" s="16"/>
      <c r="I168" s="16"/>
      <c r="J168" s="16"/>
      <c r="K168" s="16"/>
      <c r="L168" s="16"/>
      <c r="M168" s="16"/>
      <c r="N168" s="16"/>
      <c r="O168" s="16"/>
      <c r="P168" s="16"/>
      <c r="Q168" s="16"/>
      <c r="R168" s="16"/>
      <c r="S168" s="16"/>
      <c r="T168" s="16"/>
      <c r="U168" s="17"/>
    </row>
    <row r="169" spans="2:21" x14ac:dyDescent="0.35">
      <c r="B169" s="24"/>
      <c r="C169" s="7"/>
      <c r="D169" s="16"/>
      <c r="E169" s="16"/>
      <c r="F169" s="16"/>
      <c r="G169" s="16"/>
      <c r="H169" s="16"/>
      <c r="I169" s="16"/>
      <c r="J169" s="16"/>
      <c r="K169" s="16"/>
      <c r="L169" s="16"/>
      <c r="M169" s="16"/>
      <c r="N169" s="16"/>
      <c r="O169" s="16"/>
      <c r="P169" s="16"/>
      <c r="Q169" s="16"/>
      <c r="R169" s="16"/>
      <c r="S169" s="16"/>
      <c r="T169" s="16"/>
      <c r="U169" s="17"/>
    </row>
    <row r="170" spans="2:21" x14ac:dyDescent="0.35">
      <c r="B170" s="24"/>
      <c r="C170" s="7"/>
      <c r="D170" s="16"/>
      <c r="E170" s="16"/>
      <c r="F170" s="16"/>
      <c r="G170" s="16"/>
      <c r="H170" s="16"/>
      <c r="I170" s="16"/>
      <c r="J170" s="16"/>
      <c r="K170" s="16"/>
      <c r="L170" s="16"/>
      <c r="M170" s="16"/>
      <c r="N170" s="16"/>
      <c r="O170" s="16"/>
      <c r="P170" s="16"/>
      <c r="Q170" s="16"/>
      <c r="R170" s="16"/>
      <c r="S170" s="16"/>
      <c r="T170" s="16"/>
      <c r="U170" s="17"/>
    </row>
    <row r="171" spans="2:21" x14ac:dyDescent="0.35">
      <c r="B171" s="24"/>
      <c r="C171" s="7"/>
      <c r="D171" s="16"/>
      <c r="E171" s="16"/>
      <c r="F171" s="16"/>
      <c r="G171" s="16"/>
      <c r="H171" s="16"/>
      <c r="I171" s="16"/>
      <c r="J171" s="16"/>
      <c r="K171" s="16"/>
      <c r="L171" s="16"/>
      <c r="M171" s="16"/>
      <c r="N171" s="16"/>
      <c r="O171" s="16"/>
      <c r="P171" s="16"/>
      <c r="Q171" s="16"/>
      <c r="R171" s="16"/>
      <c r="S171" s="16"/>
      <c r="T171" s="16"/>
      <c r="U171" s="17"/>
    </row>
    <row r="172" spans="2:21" x14ac:dyDescent="0.35">
      <c r="B172" s="24"/>
      <c r="C172" s="7"/>
      <c r="D172" s="16"/>
      <c r="E172" s="16"/>
      <c r="F172" s="16"/>
      <c r="G172" s="16"/>
      <c r="H172" s="16"/>
      <c r="I172" s="16"/>
      <c r="J172" s="16"/>
      <c r="K172" s="16"/>
      <c r="L172" s="16"/>
      <c r="M172" s="16"/>
      <c r="N172" s="16"/>
      <c r="O172" s="16"/>
      <c r="P172" s="16"/>
      <c r="Q172" s="16"/>
      <c r="R172" s="16"/>
      <c r="S172" s="16"/>
      <c r="T172" s="16"/>
      <c r="U172" s="17"/>
    </row>
    <row r="173" spans="2:21" x14ac:dyDescent="0.35">
      <c r="B173" s="24"/>
      <c r="C173" s="7"/>
      <c r="D173" s="16"/>
      <c r="E173" s="16"/>
      <c r="F173" s="16"/>
      <c r="G173" s="16"/>
      <c r="H173" s="16"/>
      <c r="I173" s="16"/>
      <c r="J173" s="16"/>
      <c r="K173" s="16"/>
      <c r="L173" s="16"/>
      <c r="M173" s="16"/>
      <c r="N173" s="16"/>
      <c r="O173" s="16"/>
      <c r="P173" s="16"/>
      <c r="Q173" s="16"/>
      <c r="R173" s="16"/>
      <c r="S173" s="16"/>
      <c r="T173" s="16"/>
      <c r="U173" s="17"/>
    </row>
    <row r="174" spans="2:21" x14ac:dyDescent="0.35">
      <c r="B174" s="24"/>
      <c r="C174" s="7"/>
      <c r="D174" s="16"/>
      <c r="E174" s="16"/>
      <c r="F174" s="16"/>
      <c r="G174" s="16"/>
      <c r="H174" s="16"/>
      <c r="I174" s="16"/>
      <c r="J174" s="16"/>
      <c r="K174" s="16"/>
      <c r="L174" s="16"/>
      <c r="M174" s="16"/>
      <c r="N174" s="16"/>
      <c r="O174" s="16"/>
      <c r="P174" s="16"/>
      <c r="Q174" s="16"/>
      <c r="R174" s="16"/>
      <c r="S174" s="16"/>
      <c r="T174" s="16"/>
      <c r="U174" s="17"/>
    </row>
    <row r="175" spans="2:21" x14ac:dyDescent="0.35">
      <c r="B175" s="24"/>
      <c r="C175" s="7"/>
      <c r="D175" s="16"/>
      <c r="E175" s="16"/>
      <c r="F175" s="16"/>
      <c r="G175" s="16"/>
      <c r="H175" s="16"/>
      <c r="I175" s="16"/>
      <c r="J175" s="16"/>
      <c r="K175" s="16"/>
      <c r="L175" s="16"/>
      <c r="M175" s="16"/>
      <c r="N175" s="16"/>
      <c r="O175" s="16"/>
      <c r="P175" s="16"/>
      <c r="Q175" s="16"/>
      <c r="R175" s="16"/>
      <c r="S175" s="16"/>
      <c r="T175" s="16"/>
      <c r="U175" s="17"/>
    </row>
    <row r="176" spans="2:21" x14ac:dyDescent="0.35">
      <c r="B176" s="24"/>
      <c r="C176" s="7"/>
      <c r="D176" s="16"/>
      <c r="E176" s="16"/>
      <c r="F176" s="16"/>
      <c r="G176" s="16"/>
      <c r="H176" s="16"/>
      <c r="I176" s="16"/>
      <c r="J176" s="16"/>
      <c r="K176" s="16"/>
      <c r="L176" s="16"/>
      <c r="M176" s="16"/>
      <c r="N176" s="16"/>
      <c r="O176" s="16"/>
      <c r="P176" s="16"/>
      <c r="Q176" s="16"/>
      <c r="R176" s="16"/>
      <c r="S176" s="16"/>
      <c r="T176" s="16"/>
      <c r="U176" s="17"/>
    </row>
    <row r="177" spans="2:21" x14ac:dyDescent="0.35">
      <c r="B177" s="24"/>
      <c r="C177" s="7"/>
      <c r="D177" s="16"/>
      <c r="E177" s="16"/>
      <c r="F177" s="16"/>
      <c r="G177" s="16"/>
      <c r="H177" s="16"/>
      <c r="I177" s="16"/>
      <c r="J177" s="16"/>
      <c r="K177" s="16"/>
      <c r="L177" s="16"/>
      <c r="M177" s="16"/>
      <c r="N177" s="16"/>
      <c r="O177" s="16"/>
      <c r="P177" s="16"/>
      <c r="Q177" s="16"/>
      <c r="R177" s="16"/>
      <c r="S177" s="16"/>
      <c r="T177" s="16"/>
      <c r="U177" s="17"/>
    </row>
    <row r="178" spans="2:21" x14ac:dyDescent="0.35">
      <c r="B178" s="24"/>
      <c r="C178" s="7"/>
      <c r="D178" s="16"/>
      <c r="E178" s="16"/>
      <c r="F178" s="16"/>
      <c r="G178" s="16"/>
      <c r="H178" s="16"/>
      <c r="I178" s="16"/>
      <c r="J178" s="16"/>
      <c r="K178" s="16"/>
      <c r="L178" s="16"/>
      <c r="M178" s="16"/>
      <c r="N178" s="16"/>
      <c r="O178" s="16"/>
      <c r="P178" s="16"/>
      <c r="Q178" s="16"/>
      <c r="R178" s="16"/>
      <c r="S178" s="16"/>
      <c r="T178" s="16"/>
      <c r="U178" s="17"/>
    </row>
    <row r="179" spans="2:21" x14ac:dyDescent="0.35">
      <c r="B179" s="24"/>
      <c r="C179" s="7"/>
      <c r="D179" s="16"/>
      <c r="E179" s="16"/>
      <c r="F179" s="16"/>
      <c r="G179" s="16"/>
      <c r="H179" s="16"/>
      <c r="I179" s="16"/>
      <c r="J179" s="16"/>
      <c r="K179" s="16"/>
      <c r="L179" s="16"/>
      <c r="M179" s="16"/>
      <c r="N179" s="16"/>
      <c r="O179" s="16"/>
      <c r="P179" s="16"/>
      <c r="Q179" s="16"/>
      <c r="R179" s="16"/>
      <c r="S179" s="16"/>
      <c r="T179" s="16"/>
      <c r="U179" s="17"/>
    </row>
    <row r="180" spans="2:21" x14ac:dyDescent="0.35">
      <c r="B180" s="24"/>
      <c r="C180" s="7"/>
      <c r="D180" s="16"/>
      <c r="E180" s="16"/>
      <c r="F180" s="16"/>
      <c r="G180" s="16"/>
      <c r="H180" s="16"/>
      <c r="I180" s="16"/>
      <c r="J180" s="16"/>
      <c r="K180" s="16"/>
      <c r="L180" s="16"/>
      <c r="M180" s="16"/>
      <c r="N180" s="16"/>
      <c r="O180" s="16"/>
      <c r="P180" s="16"/>
      <c r="Q180" s="16"/>
      <c r="R180" s="16"/>
      <c r="S180" s="16"/>
      <c r="T180" s="16"/>
      <c r="U180" s="17"/>
    </row>
    <row r="181" spans="2:21" x14ac:dyDescent="0.35">
      <c r="B181" s="24"/>
      <c r="C181" s="7"/>
      <c r="D181" s="16"/>
      <c r="E181" s="16"/>
      <c r="F181" s="16"/>
      <c r="G181" s="16"/>
      <c r="H181" s="16"/>
      <c r="I181" s="16"/>
      <c r="J181" s="16"/>
      <c r="K181" s="16"/>
      <c r="L181" s="16"/>
      <c r="M181" s="16"/>
      <c r="N181" s="16"/>
      <c r="O181" s="16"/>
      <c r="P181" s="16"/>
      <c r="Q181" s="16"/>
      <c r="R181" s="16"/>
      <c r="S181" s="16"/>
      <c r="T181" s="16"/>
      <c r="U181" s="17"/>
    </row>
    <row r="182" spans="2:21" x14ac:dyDescent="0.35">
      <c r="B182" s="24"/>
      <c r="C182" s="7"/>
      <c r="D182" s="16"/>
      <c r="E182" s="16"/>
      <c r="F182" s="16"/>
      <c r="G182" s="16"/>
      <c r="H182" s="16"/>
      <c r="I182" s="16"/>
      <c r="J182" s="16"/>
      <c r="K182" s="16"/>
      <c r="L182" s="16"/>
      <c r="M182" s="16"/>
      <c r="N182" s="16"/>
      <c r="O182" s="16"/>
      <c r="P182" s="16"/>
      <c r="Q182" s="16"/>
      <c r="R182" s="16"/>
      <c r="S182" s="16"/>
      <c r="T182" s="16"/>
      <c r="U182" s="17"/>
    </row>
    <row r="183" spans="2:21" x14ac:dyDescent="0.35">
      <c r="B183" s="24"/>
      <c r="C183" s="7"/>
      <c r="D183" s="16"/>
      <c r="E183" s="16"/>
      <c r="F183" s="16"/>
      <c r="G183" s="16"/>
      <c r="H183" s="16"/>
      <c r="I183" s="16"/>
      <c r="J183" s="16"/>
      <c r="K183" s="16"/>
      <c r="L183" s="16"/>
      <c r="M183" s="16"/>
      <c r="N183" s="16"/>
      <c r="O183" s="16"/>
      <c r="P183" s="16"/>
      <c r="Q183" s="16"/>
      <c r="R183" s="16"/>
      <c r="S183" s="16"/>
      <c r="T183" s="16"/>
      <c r="U183" s="17"/>
    </row>
    <row r="184" spans="2:21" x14ac:dyDescent="0.35">
      <c r="B184" s="24"/>
      <c r="C184" s="7"/>
      <c r="D184" s="16"/>
      <c r="E184" s="16"/>
      <c r="F184" s="16"/>
      <c r="G184" s="16"/>
      <c r="H184" s="16"/>
      <c r="I184" s="16"/>
      <c r="J184" s="16"/>
      <c r="K184" s="16"/>
      <c r="L184" s="16"/>
      <c r="M184" s="16"/>
      <c r="N184" s="16"/>
      <c r="O184" s="16"/>
      <c r="P184" s="16"/>
      <c r="Q184" s="16"/>
      <c r="R184" s="16"/>
      <c r="S184" s="16"/>
      <c r="T184" s="16"/>
      <c r="U184" s="17"/>
    </row>
    <row r="185" spans="2:21" x14ac:dyDescent="0.35">
      <c r="B185" s="24"/>
      <c r="C185" s="7"/>
      <c r="D185" s="16"/>
      <c r="E185" s="16"/>
      <c r="F185" s="16"/>
      <c r="G185" s="16"/>
      <c r="H185" s="16"/>
      <c r="I185" s="16"/>
      <c r="J185" s="16"/>
      <c r="K185" s="16"/>
      <c r="L185" s="16"/>
      <c r="M185" s="16"/>
      <c r="N185" s="16"/>
      <c r="O185" s="16"/>
      <c r="P185" s="16"/>
      <c r="Q185" s="16"/>
      <c r="R185" s="16"/>
      <c r="S185" s="16"/>
      <c r="T185" s="16"/>
      <c r="U185" s="17"/>
    </row>
    <row r="186" spans="2:21" x14ac:dyDescent="0.35">
      <c r="B186" s="24"/>
      <c r="C186" s="7"/>
      <c r="D186" s="16"/>
      <c r="E186" s="16"/>
      <c r="F186" s="16"/>
      <c r="G186" s="16"/>
      <c r="H186" s="16"/>
      <c r="I186" s="16"/>
      <c r="J186" s="16"/>
      <c r="K186" s="16"/>
      <c r="L186" s="16"/>
      <c r="M186" s="16"/>
      <c r="N186" s="16"/>
      <c r="O186" s="16"/>
      <c r="P186" s="16"/>
      <c r="Q186" s="16"/>
      <c r="R186" s="16"/>
      <c r="S186" s="16"/>
      <c r="T186" s="16"/>
      <c r="U186" s="17"/>
    </row>
    <row r="187" spans="2:21" x14ac:dyDescent="0.35">
      <c r="B187" s="24"/>
      <c r="C187" s="7"/>
      <c r="D187" s="16"/>
      <c r="E187" s="16"/>
      <c r="F187" s="16"/>
      <c r="G187" s="16"/>
      <c r="H187" s="16"/>
      <c r="I187" s="16"/>
      <c r="J187" s="16"/>
      <c r="K187" s="16"/>
      <c r="L187" s="16"/>
      <c r="M187" s="16"/>
      <c r="N187" s="16"/>
      <c r="O187" s="16"/>
      <c r="P187" s="16"/>
      <c r="Q187" s="16"/>
      <c r="R187" s="16"/>
      <c r="S187" s="16"/>
      <c r="T187" s="16"/>
      <c r="U187" s="17"/>
    </row>
    <row r="188" spans="2:21" x14ac:dyDescent="0.35">
      <c r="B188" s="24"/>
      <c r="C188" s="7"/>
      <c r="D188" s="16"/>
      <c r="E188" s="16"/>
      <c r="F188" s="16"/>
      <c r="G188" s="16"/>
      <c r="H188" s="16"/>
      <c r="I188" s="16"/>
      <c r="J188" s="16"/>
      <c r="K188" s="16"/>
      <c r="L188" s="16"/>
      <c r="M188" s="16"/>
      <c r="N188" s="16"/>
      <c r="O188" s="16"/>
      <c r="P188" s="16"/>
      <c r="Q188" s="16"/>
      <c r="R188" s="16"/>
      <c r="S188" s="16"/>
      <c r="T188" s="16"/>
      <c r="U188" s="17"/>
    </row>
    <row r="189" spans="2:21" x14ac:dyDescent="0.35">
      <c r="B189" s="24"/>
      <c r="C189" s="7"/>
      <c r="D189" s="16"/>
      <c r="E189" s="16"/>
      <c r="F189" s="16"/>
      <c r="G189" s="16"/>
      <c r="H189" s="16"/>
      <c r="I189" s="16"/>
      <c r="J189" s="16"/>
      <c r="K189" s="16"/>
      <c r="L189" s="16"/>
      <c r="M189" s="16"/>
      <c r="N189" s="16"/>
      <c r="O189" s="16"/>
      <c r="P189" s="16"/>
      <c r="Q189" s="16"/>
      <c r="R189" s="16"/>
      <c r="S189" s="16"/>
      <c r="T189" s="16"/>
      <c r="U189" s="17"/>
    </row>
    <row r="190" spans="2:21" x14ac:dyDescent="0.35">
      <c r="B190" s="24"/>
      <c r="C190" s="7"/>
      <c r="D190" s="16"/>
      <c r="E190" s="16"/>
      <c r="F190" s="16"/>
      <c r="G190" s="16"/>
      <c r="H190" s="16"/>
      <c r="I190" s="16"/>
      <c r="J190" s="16"/>
      <c r="K190" s="16"/>
      <c r="L190" s="16"/>
      <c r="M190" s="16"/>
      <c r="N190" s="16"/>
      <c r="O190" s="16"/>
      <c r="P190" s="16"/>
      <c r="Q190" s="16"/>
      <c r="R190" s="16"/>
      <c r="S190" s="16"/>
      <c r="T190" s="16"/>
      <c r="U190" s="17"/>
    </row>
    <row r="191" spans="2:21" x14ac:dyDescent="0.35">
      <c r="B191" s="24"/>
      <c r="C191" s="7"/>
      <c r="D191" s="16"/>
      <c r="E191" s="16"/>
      <c r="F191" s="16"/>
      <c r="G191" s="16"/>
      <c r="H191" s="16"/>
      <c r="I191" s="16"/>
      <c r="J191" s="16"/>
      <c r="K191" s="16"/>
      <c r="L191" s="16"/>
      <c r="M191" s="16"/>
      <c r="N191" s="16"/>
      <c r="O191" s="16"/>
      <c r="P191" s="16"/>
      <c r="Q191" s="16"/>
      <c r="R191" s="16"/>
      <c r="S191" s="16"/>
      <c r="T191" s="16"/>
      <c r="U191" s="17"/>
    </row>
    <row r="192" spans="2:21" x14ac:dyDescent="0.35">
      <c r="B192" s="24"/>
      <c r="C192" s="7"/>
      <c r="D192" s="16"/>
      <c r="E192" s="16"/>
      <c r="F192" s="16"/>
      <c r="G192" s="16"/>
      <c r="H192" s="16"/>
      <c r="I192" s="16"/>
      <c r="J192" s="16"/>
      <c r="K192" s="16"/>
      <c r="L192" s="16"/>
      <c r="M192" s="16"/>
      <c r="N192" s="16"/>
      <c r="O192" s="16"/>
      <c r="P192" s="16"/>
      <c r="Q192" s="16"/>
      <c r="R192" s="16"/>
      <c r="S192" s="16"/>
      <c r="T192" s="16"/>
      <c r="U192" s="17"/>
    </row>
    <row r="193" spans="2:21" x14ac:dyDescent="0.35">
      <c r="B193" s="24"/>
      <c r="C193" s="7"/>
      <c r="D193" s="16"/>
      <c r="E193" s="16"/>
      <c r="F193" s="16"/>
      <c r="G193" s="16"/>
      <c r="H193" s="16"/>
      <c r="I193" s="16"/>
      <c r="J193" s="16"/>
      <c r="K193" s="16"/>
      <c r="L193" s="16"/>
      <c r="M193" s="16"/>
      <c r="N193" s="16"/>
      <c r="O193" s="16"/>
      <c r="P193" s="16"/>
      <c r="Q193" s="16"/>
      <c r="R193" s="16"/>
      <c r="S193" s="16"/>
      <c r="T193" s="16"/>
      <c r="U193" s="17"/>
    </row>
    <row r="194" spans="2:21" x14ac:dyDescent="0.35">
      <c r="B194" s="24"/>
      <c r="C194" s="7"/>
      <c r="D194" s="16"/>
      <c r="E194" s="16"/>
      <c r="F194" s="16"/>
      <c r="G194" s="16"/>
      <c r="H194" s="16"/>
      <c r="I194" s="16"/>
      <c r="J194" s="16"/>
      <c r="K194" s="16"/>
      <c r="L194" s="16"/>
      <c r="M194" s="16"/>
      <c r="N194" s="16"/>
      <c r="O194" s="16"/>
      <c r="P194" s="16"/>
      <c r="Q194" s="16"/>
      <c r="R194" s="16"/>
      <c r="S194" s="16"/>
      <c r="T194" s="16"/>
      <c r="U194" s="17"/>
    </row>
    <row r="195" spans="2:21" x14ac:dyDescent="0.35">
      <c r="B195" s="24"/>
      <c r="C195" s="7"/>
      <c r="D195" s="16"/>
      <c r="E195" s="16"/>
      <c r="F195" s="16"/>
      <c r="G195" s="16"/>
      <c r="H195" s="16"/>
      <c r="I195" s="16"/>
      <c r="J195" s="16"/>
      <c r="K195" s="16"/>
      <c r="L195" s="16"/>
      <c r="M195" s="16"/>
      <c r="N195" s="16"/>
      <c r="O195" s="16"/>
      <c r="P195" s="16"/>
      <c r="Q195" s="16"/>
      <c r="R195" s="16"/>
      <c r="S195" s="16"/>
      <c r="T195" s="16"/>
      <c r="U195" s="17"/>
    </row>
    <row r="196" spans="2:21" x14ac:dyDescent="0.35">
      <c r="B196" s="24"/>
      <c r="C196" s="7"/>
      <c r="D196" s="16"/>
      <c r="E196" s="16"/>
      <c r="F196" s="16"/>
      <c r="G196" s="16"/>
      <c r="H196" s="16"/>
      <c r="I196" s="16"/>
      <c r="J196" s="16"/>
      <c r="K196" s="16"/>
      <c r="L196" s="16"/>
      <c r="M196" s="16"/>
      <c r="N196" s="16"/>
      <c r="O196" s="16"/>
      <c r="P196" s="16"/>
      <c r="Q196" s="16"/>
      <c r="R196" s="16"/>
      <c r="S196" s="16"/>
      <c r="T196" s="16"/>
      <c r="U196" s="17"/>
    </row>
    <row r="197" spans="2:21" x14ac:dyDescent="0.35">
      <c r="B197" s="24"/>
      <c r="C197" s="7"/>
      <c r="D197" s="16"/>
      <c r="E197" s="16"/>
      <c r="F197" s="16"/>
      <c r="G197" s="16"/>
      <c r="H197" s="16"/>
      <c r="I197" s="16"/>
      <c r="J197" s="16"/>
      <c r="K197" s="16"/>
      <c r="L197" s="16"/>
      <c r="M197" s="16"/>
      <c r="N197" s="16"/>
      <c r="O197" s="16"/>
      <c r="P197" s="16"/>
      <c r="Q197" s="16"/>
      <c r="R197" s="16"/>
      <c r="S197" s="16"/>
      <c r="T197" s="16"/>
      <c r="U197" s="17"/>
    </row>
    <row r="198" spans="2:21" x14ac:dyDescent="0.35">
      <c r="B198" s="24"/>
      <c r="C198" s="7"/>
      <c r="D198" s="16"/>
      <c r="E198" s="16"/>
      <c r="F198" s="16"/>
      <c r="G198" s="16"/>
      <c r="H198" s="16"/>
      <c r="I198" s="16"/>
      <c r="J198" s="16"/>
      <c r="K198" s="16"/>
      <c r="L198" s="16"/>
      <c r="M198" s="16"/>
      <c r="N198" s="16"/>
      <c r="O198" s="16"/>
      <c r="P198" s="16"/>
      <c r="Q198" s="16"/>
      <c r="R198" s="16"/>
      <c r="S198" s="16"/>
      <c r="T198" s="16"/>
      <c r="U198" s="17"/>
    </row>
    <row r="199" spans="2:21" x14ac:dyDescent="0.35">
      <c r="B199" s="24"/>
      <c r="C199" s="7"/>
      <c r="D199" s="16"/>
      <c r="E199" s="16"/>
      <c r="F199" s="16"/>
      <c r="G199" s="16"/>
      <c r="H199" s="16"/>
      <c r="I199" s="16"/>
      <c r="J199" s="16"/>
      <c r="K199" s="16"/>
      <c r="L199" s="16"/>
      <c r="M199" s="16"/>
      <c r="N199" s="16"/>
      <c r="O199" s="16"/>
      <c r="P199" s="16"/>
      <c r="Q199" s="16"/>
      <c r="R199" s="16"/>
      <c r="S199" s="16"/>
      <c r="T199" s="16"/>
      <c r="U199" s="17"/>
    </row>
    <row r="200" spans="2:21" x14ac:dyDescent="0.35">
      <c r="B200" s="24"/>
      <c r="C200" s="7"/>
      <c r="D200" s="16"/>
      <c r="E200" s="16"/>
      <c r="F200" s="16"/>
      <c r="G200" s="16"/>
      <c r="H200" s="16"/>
      <c r="I200" s="16"/>
      <c r="J200" s="16"/>
      <c r="K200" s="16"/>
      <c r="L200" s="16"/>
      <c r="M200" s="16"/>
      <c r="N200" s="16"/>
      <c r="O200" s="16"/>
      <c r="P200" s="16"/>
      <c r="Q200" s="16"/>
      <c r="R200" s="16"/>
      <c r="S200" s="16"/>
      <c r="T200" s="16"/>
      <c r="U200" s="17"/>
    </row>
    <row r="201" spans="2:21" x14ac:dyDescent="0.35">
      <c r="B201" s="24"/>
      <c r="C201" s="7"/>
      <c r="D201" s="16"/>
      <c r="E201" s="16"/>
      <c r="F201" s="16"/>
      <c r="G201" s="16"/>
      <c r="H201" s="16"/>
      <c r="I201" s="16"/>
      <c r="J201" s="16"/>
      <c r="K201" s="16"/>
      <c r="L201" s="16"/>
      <c r="M201" s="16"/>
      <c r="N201" s="16"/>
      <c r="O201" s="16"/>
      <c r="P201" s="16"/>
      <c r="Q201" s="16"/>
      <c r="R201" s="16"/>
      <c r="S201" s="16"/>
      <c r="T201" s="16"/>
      <c r="U201" s="17"/>
    </row>
    <row r="202" spans="2:21" x14ac:dyDescent="0.35">
      <c r="B202" s="24"/>
      <c r="C202" s="7"/>
      <c r="D202" s="16"/>
      <c r="E202" s="16"/>
      <c r="F202" s="16"/>
      <c r="G202" s="16"/>
      <c r="H202" s="16"/>
      <c r="I202" s="16"/>
      <c r="J202" s="16"/>
      <c r="K202" s="16"/>
      <c r="L202" s="16"/>
      <c r="M202" s="16"/>
      <c r="N202" s="16"/>
      <c r="O202" s="16"/>
      <c r="P202" s="16"/>
      <c r="Q202" s="16"/>
      <c r="R202" s="16"/>
      <c r="S202" s="16"/>
      <c r="T202" s="16"/>
      <c r="U202" s="17"/>
    </row>
    <row r="203" spans="2:21" x14ac:dyDescent="0.35">
      <c r="B203" s="24"/>
      <c r="C203" s="7"/>
      <c r="D203" s="16"/>
      <c r="E203" s="16"/>
      <c r="F203" s="16"/>
      <c r="G203" s="16"/>
      <c r="H203" s="16"/>
      <c r="I203" s="16"/>
      <c r="J203" s="16"/>
      <c r="K203" s="16"/>
      <c r="L203" s="16"/>
      <c r="M203" s="16"/>
      <c r="N203" s="16"/>
      <c r="O203" s="16"/>
      <c r="P203" s="16"/>
      <c r="Q203" s="16"/>
      <c r="R203" s="16"/>
      <c r="S203" s="16"/>
      <c r="T203" s="16"/>
      <c r="U203" s="17"/>
    </row>
    <row r="204" spans="2:21" x14ac:dyDescent="0.35">
      <c r="B204" s="24"/>
      <c r="C204" s="7"/>
      <c r="D204" s="16"/>
      <c r="E204" s="16"/>
      <c r="F204" s="16"/>
      <c r="G204" s="16"/>
      <c r="H204" s="16"/>
      <c r="I204" s="16"/>
      <c r="J204" s="16"/>
      <c r="K204" s="16"/>
      <c r="L204" s="16"/>
      <c r="M204" s="16"/>
      <c r="N204" s="16"/>
      <c r="O204" s="16"/>
      <c r="P204" s="16"/>
      <c r="Q204" s="16"/>
      <c r="R204" s="16"/>
      <c r="S204" s="16"/>
      <c r="T204" s="16"/>
      <c r="U204" s="17"/>
    </row>
    <row r="205" spans="2:21" x14ac:dyDescent="0.35">
      <c r="B205" s="24"/>
      <c r="C205" s="7"/>
      <c r="D205" s="16"/>
      <c r="E205" s="16"/>
      <c r="F205" s="16"/>
      <c r="G205" s="16"/>
      <c r="H205" s="16"/>
      <c r="I205" s="16"/>
      <c r="J205" s="16"/>
      <c r="K205" s="16"/>
      <c r="L205" s="16"/>
      <c r="M205" s="16"/>
      <c r="N205" s="16"/>
      <c r="O205" s="16"/>
      <c r="P205" s="16"/>
      <c r="Q205" s="16"/>
      <c r="R205" s="16"/>
      <c r="S205" s="16"/>
      <c r="T205" s="16"/>
      <c r="U205" s="17"/>
    </row>
    <row r="206" spans="2:21" x14ac:dyDescent="0.35">
      <c r="B206" s="24"/>
      <c r="C206" s="7"/>
      <c r="D206" s="16"/>
      <c r="E206" s="16"/>
      <c r="F206" s="16"/>
      <c r="G206" s="16"/>
      <c r="H206" s="16"/>
      <c r="I206" s="16"/>
      <c r="J206" s="16"/>
      <c r="K206" s="16"/>
      <c r="L206" s="16"/>
      <c r="M206" s="16"/>
      <c r="N206" s="16"/>
      <c r="O206" s="16"/>
      <c r="P206" s="16"/>
      <c r="Q206" s="16"/>
      <c r="R206" s="16"/>
      <c r="S206" s="16"/>
      <c r="T206" s="16"/>
      <c r="U206" s="17"/>
    </row>
    <row r="207" spans="2:21" x14ac:dyDescent="0.35">
      <c r="B207" s="24"/>
      <c r="C207" s="7"/>
      <c r="D207" s="16"/>
      <c r="E207" s="16"/>
      <c r="F207" s="16"/>
      <c r="G207" s="16"/>
      <c r="H207" s="16"/>
      <c r="I207" s="16"/>
      <c r="J207" s="16"/>
      <c r="K207" s="16"/>
      <c r="L207" s="16"/>
      <c r="M207" s="16"/>
      <c r="N207" s="16"/>
      <c r="O207" s="16"/>
      <c r="P207" s="16"/>
      <c r="Q207" s="16"/>
      <c r="R207" s="16"/>
      <c r="S207" s="16"/>
      <c r="T207" s="16"/>
      <c r="U207" s="17"/>
    </row>
    <row r="208" spans="2:21" x14ac:dyDescent="0.35">
      <c r="B208" s="24"/>
      <c r="C208" s="7"/>
      <c r="D208" s="16"/>
      <c r="E208" s="16"/>
      <c r="F208" s="16"/>
      <c r="G208" s="16"/>
      <c r="H208" s="16"/>
      <c r="I208" s="16"/>
      <c r="J208" s="16"/>
      <c r="K208" s="16"/>
      <c r="L208" s="16"/>
      <c r="M208" s="16"/>
      <c r="N208" s="16"/>
      <c r="O208" s="16"/>
      <c r="P208" s="16"/>
      <c r="Q208" s="16"/>
      <c r="R208" s="16"/>
      <c r="S208" s="16"/>
      <c r="T208" s="16"/>
      <c r="U208" s="17"/>
    </row>
    <row r="209" spans="2:21" x14ac:dyDescent="0.35">
      <c r="B209" s="24"/>
      <c r="C209" s="7"/>
      <c r="D209" s="16"/>
      <c r="E209" s="16"/>
      <c r="F209" s="16"/>
      <c r="G209" s="16"/>
      <c r="H209" s="16"/>
      <c r="I209" s="16"/>
      <c r="J209" s="16"/>
      <c r="K209" s="16"/>
      <c r="L209" s="16"/>
      <c r="M209" s="16"/>
      <c r="N209" s="16"/>
      <c r="O209" s="16"/>
      <c r="P209" s="16"/>
      <c r="Q209" s="16"/>
      <c r="R209" s="16"/>
      <c r="S209" s="16"/>
      <c r="T209" s="16"/>
      <c r="U209" s="17"/>
    </row>
    <row r="210" spans="2:21" x14ac:dyDescent="0.35">
      <c r="B210" s="24"/>
      <c r="C210" s="7"/>
      <c r="D210" s="16"/>
      <c r="E210" s="16"/>
      <c r="F210" s="16"/>
      <c r="G210" s="16"/>
      <c r="H210" s="16"/>
      <c r="I210" s="16"/>
      <c r="J210" s="16"/>
      <c r="K210" s="16"/>
      <c r="L210" s="16"/>
      <c r="M210" s="16"/>
      <c r="N210" s="16"/>
      <c r="O210" s="16"/>
      <c r="P210" s="16"/>
      <c r="Q210" s="16"/>
      <c r="R210" s="16"/>
      <c r="S210" s="16"/>
      <c r="T210" s="16"/>
      <c r="U210" s="17"/>
    </row>
    <row r="211" spans="2:21" x14ac:dyDescent="0.35">
      <c r="B211" s="24"/>
      <c r="C211" s="7"/>
      <c r="D211" s="16"/>
      <c r="E211" s="16"/>
      <c r="F211" s="16"/>
      <c r="G211" s="16"/>
      <c r="H211" s="16"/>
      <c r="I211" s="16"/>
      <c r="J211" s="16"/>
      <c r="K211" s="16"/>
      <c r="L211" s="16"/>
      <c r="M211" s="16"/>
      <c r="N211" s="16"/>
      <c r="O211" s="16"/>
      <c r="P211" s="16"/>
      <c r="Q211" s="16"/>
      <c r="R211" s="16"/>
      <c r="S211" s="16"/>
      <c r="T211" s="16"/>
      <c r="U211" s="17"/>
    </row>
    <row r="212" spans="2:21" x14ac:dyDescent="0.35">
      <c r="B212" s="24"/>
      <c r="C212" s="7"/>
      <c r="D212" s="16"/>
      <c r="E212" s="16"/>
      <c r="F212" s="16"/>
      <c r="G212" s="16"/>
      <c r="H212" s="16"/>
      <c r="I212" s="16"/>
      <c r="J212" s="16"/>
      <c r="K212" s="16"/>
      <c r="L212" s="16"/>
      <c r="M212" s="16"/>
      <c r="N212" s="16"/>
      <c r="O212" s="16"/>
      <c r="P212" s="16"/>
      <c r="Q212" s="16"/>
      <c r="R212" s="16"/>
      <c r="S212" s="16"/>
      <c r="T212" s="16"/>
      <c r="U212" s="17"/>
    </row>
    <row r="213" spans="2:21" x14ac:dyDescent="0.35">
      <c r="B213" s="24"/>
      <c r="C213" s="7"/>
      <c r="D213" s="16"/>
      <c r="E213" s="16"/>
      <c r="F213" s="16"/>
      <c r="G213" s="16"/>
      <c r="H213" s="16"/>
      <c r="I213" s="16"/>
      <c r="J213" s="16"/>
      <c r="K213" s="16"/>
      <c r="L213" s="16"/>
      <c r="M213" s="16"/>
      <c r="N213" s="16"/>
      <c r="O213" s="16"/>
      <c r="P213" s="16"/>
      <c r="Q213" s="16"/>
      <c r="R213" s="16"/>
      <c r="S213" s="16"/>
      <c r="T213" s="16"/>
      <c r="U213" s="17"/>
    </row>
    <row r="214" spans="2:21" x14ac:dyDescent="0.35">
      <c r="B214" s="24"/>
      <c r="C214" s="7"/>
      <c r="D214" s="16"/>
      <c r="E214" s="16"/>
      <c r="F214" s="16"/>
      <c r="G214" s="16"/>
      <c r="H214" s="16"/>
      <c r="I214" s="16"/>
      <c r="J214" s="16"/>
      <c r="K214" s="16"/>
      <c r="L214" s="16"/>
      <c r="M214" s="16"/>
      <c r="N214" s="16"/>
      <c r="O214" s="16"/>
      <c r="P214" s="16"/>
      <c r="Q214" s="16"/>
      <c r="R214" s="16"/>
      <c r="S214" s="16"/>
      <c r="T214" s="16"/>
      <c r="U214" s="17"/>
    </row>
    <row r="215" spans="2:21" x14ac:dyDescent="0.35">
      <c r="B215" s="24"/>
      <c r="C215" s="7"/>
      <c r="D215" s="16"/>
      <c r="E215" s="16"/>
      <c r="F215" s="16"/>
      <c r="G215" s="16"/>
      <c r="H215" s="16"/>
      <c r="I215" s="16"/>
      <c r="J215" s="16"/>
      <c r="K215" s="16"/>
      <c r="L215" s="16"/>
      <c r="M215" s="16"/>
      <c r="N215" s="16"/>
      <c r="O215" s="16"/>
      <c r="P215" s="16"/>
      <c r="Q215" s="16"/>
      <c r="R215" s="16"/>
      <c r="S215" s="16"/>
      <c r="T215" s="16"/>
      <c r="U215" s="17"/>
    </row>
    <row r="216" spans="2:21" x14ac:dyDescent="0.35">
      <c r="B216" s="24"/>
      <c r="C216" s="7"/>
      <c r="D216" s="16"/>
      <c r="E216" s="16"/>
      <c r="F216" s="16"/>
      <c r="G216" s="16"/>
      <c r="H216" s="16"/>
      <c r="I216" s="16"/>
      <c r="J216" s="16"/>
      <c r="K216" s="16"/>
      <c r="L216" s="16"/>
      <c r="M216" s="16"/>
      <c r="N216" s="16"/>
      <c r="O216" s="16"/>
      <c r="P216" s="16"/>
      <c r="Q216" s="16"/>
      <c r="R216" s="16"/>
      <c r="S216" s="16"/>
      <c r="T216" s="16"/>
      <c r="U216" s="17"/>
    </row>
    <row r="217" spans="2:21" x14ac:dyDescent="0.35">
      <c r="B217" s="24"/>
      <c r="C217" s="7"/>
      <c r="D217" s="16"/>
      <c r="E217" s="16"/>
      <c r="F217" s="16"/>
      <c r="G217" s="16"/>
      <c r="H217" s="16"/>
      <c r="I217" s="16"/>
      <c r="J217" s="16"/>
      <c r="K217" s="16"/>
      <c r="L217" s="16"/>
      <c r="M217" s="16"/>
      <c r="N217" s="16"/>
      <c r="O217" s="16"/>
      <c r="P217" s="16"/>
      <c r="Q217" s="16"/>
      <c r="R217" s="16"/>
      <c r="S217" s="16"/>
      <c r="T217" s="16"/>
      <c r="U217" s="17"/>
    </row>
    <row r="218" spans="2:21" x14ac:dyDescent="0.35">
      <c r="B218" s="24"/>
      <c r="C218" s="7"/>
      <c r="D218" s="16"/>
      <c r="E218" s="16"/>
      <c r="F218" s="16"/>
      <c r="G218" s="16"/>
      <c r="H218" s="16"/>
      <c r="I218" s="16"/>
      <c r="J218" s="16"/>
      <c r="K218" s="16"/>
      <c r="L218" s="16"/>
      <c r="M218" s="16"/>
      <c r="N218" s="16"/>
      <c r="O218" s="16"/>
      <c r="P218" s="16"/>
      <c r="Q218" s="16"/>
      <c r="R218" s="16"/>
      <c r="S218" s="16"/>
      <c r="T218" s="16"/>
      <c r="U218" s="17"/>
    </row>
    <row r="219" spans="2:21" x14ac:dyDescent="0.35">
      <c r="B219" s="24"/>
      <c r="C219" s="7"/>
      <c r="D219" s="16"/>
      <c r="E219" s="16"/>
      <c r="F219" s="16"/>
      <c r="G219" s="16"/>
      <c r="H219" s="16"/>
      <c r="I219" s="16"/>
      <c r="J219" s="16"/>
      <c r="K219" s="16"/>
      <c r="L219" s="16"/>
      <c r="M219" s="16"/>
      <c r="N219" s="16"/>
      <c r="O219" s="16"/>
      <c r="P219" s="16"/>
      <c r="Q219" s="16"/>
      <c r="R219" s="16"/>
      <c r="S219" s="16"/>
      <c r="T219" s="16"/>
      <c r="U219" s="17"/>
    </row>
    <row r="220" spans="2:21" x14ac:dyDescent="0.35">
      <c r="B220" s="24"/>
      <c r="C220" s="7"/>
      <c r="D220" s="16"/>
      <c r="E220" s="16"/>
      <c r="F220" s="16"/>
      <c r="G220" s="16"/>
      <c r="H220" s="16"/>
      <c r="I220" s="16"/>
      <c r="J220" s="16"/>
      <c r="K220" s="16"/>
      <c r="L220" s="16"/>
      <c r="M220" s="16"/>
      <c r="N220" s="16"/>
      <c r="O220" s="16"/>
      <c r="P220" s="16"/>
      <c r="Q220" s="16"/>
      <c r="R220" s="16"/>
      <c r="S220" s="16"/>
      <c r="T220" s="16"/>
      <c r="U220" s="17"/>
    </row>
    <row r="221" spans="2:21" x14ac:dyDescent="0.35">
      <c r="B221" s="24"/>
      <c r="C221" s="7"/>
      <c r="D221" s="16"/>
      <c r="E221" s="16"/>
      <c r="F221" s="16"/>
      <c r="G221" s="16"/>
      <c r="H221" s="16"/>
      <c r="I221" s="16"/>
      <c r="J221" s="16"/>
      <c r="K221" s="16"/>
      <c r="L221" s="16"/>
      <c r="M221" s="16"/>
      <c r="N221" s="16"/>
      <c r="O221" s="16"/>
      <c r="P221" s="16"/>
      <c r="Q221" s="16"/>
      <c r="R221" s="16"/>
      <c r="S221" s="16"/>
      <c r="T221" s="16"/>
      <c r="U221" s="17"/>
    </row>
    <row r="222" spans="2:21" x14ac:dyDescent="0.35">
      <c r="B222" s="24"/>
      <c r="C222" s="7"/>
      <c r="D222" s="16"/>
      <c r="E222" s="16"/>
      <c r="F222" s="16"/>
      <c r="G222" s="16"/>
      <c r="H222" s="16"/>
      <c r="I222" s="16"/>
      <c r="J222" s="16"/>
      <c r="K222" s="16"/>
      <c r="L222" s="16"/>
      <c r="M222" s="16"/>
      <c r="N222" s="16"/>
      <c r="O222" s="16"/>
      <c r="P222" s="16"/>
      <c r="Q222" s="16"/>
      <c r="R222" s="16"/>
      <c r="S222" s="16"/>
      <c r="T222" s="16"/>
      <c r="U222" s="17"/>
    </row>
    <row r="223" spans="2:21" x14ac:dyDescent="0.35">
      <c r="B223" s="24"/>
      <c r="C223" s="7"/>
      <c r="D223" s="16"/>
      <c r="E223" s="16"/>
      <c r="F223" s="16"/>
      <c r="G223" s="16"/>
      <c r="H223" s="16"/>
      <c r="I223" s="16"/>
      <c r="J223" s="16"/>
      <c r="K223" s="16"/>
      <c r="L223" s="16"/>
      <c r="M223" s="16"/>
      <c r="N223" s="16"/>
      <c r="O223" s="16"/>
      <c r="P223" s="16"/>
      <c r="Q223" s="16"/>
      <c r="R223" s="16"/>
      <c r="S223" s="16"/>
      <c r="T223" s="16"/>
      <c r="U223" s="17"/>
    </row>
    <row r="224" spans="2:21" x14ac:dyDescent="0.35">
      <c r="B224" s="24"/>
      <c r="C224" s="7"/>
      <c r="D224" s="16"/>
      <c r="E224" s="16"/>
      <c r="F224" s="16"/>
      <c r="G224" s="16"/>
      <c r="H224" s="16"/>
      <c r="I224" s="16"/>
      <c r="J224" s="16"/>
      <c r="K224" s="16"/>
      <c r="L224" s="16"/>
      <c r="M224" s="16"/>
      <c r="N224" s="16"/>
      <c r="O224" s="16"/>
      <c r="P224" s="16"/>
      <c r="Q224" s="16"/>
      <c r="R224" s="16"/>
      <c r="S224" s="16"/>
      <c r="T224" s="16"/>
      <c r="U224" s="17"/>
    </row>
    <row r="225" spans="2:21" x14ac:dyDescent="0.35">
      <c r="B225" s="24"/>
      <c r="C225" s="7"/>
      <c r="D225" s="16"/>
      <c r="E225" s="16"/>
      <c r="F225" s="16"/>
      <c r="G225" s="16"/>
      <c r="H225" s="16"/>
      <c r="I225" s="16"/>
      <c r="J225" s="16"/>
      <c r="K225" s="16"/>
      <c r="L225" s="16"/>
      <c r="M225" s="16"/>
      <c r="N225" s="16"/>
      <c r="O225" s="16"/>
      <c r="P225" s="16"/>
      <c r="Q225" s="16"/>
      <c r="R225" s="16"/>
      <c r="S225" s="16"/>
      <c r="T225" s="16"/>
      <c r="U225" s="17"/>
    </row>
    <row r="226" spans="2:21" x14ac:dyDescent="0.35">
      <c r="B226" s="24"/>
      <c r="C226" s="7"/>
      <c r="D226" s="16"/>
      <c r="E226" s="16"/>
      <c r="F226" s="16"/>
      <c r="G226" s="16"/>
      <c r="H226" s="16"/>
      <c r="I226" s="16"/>
      <c r="J226" s="16"/>
      <c r="K226" s="16"/>
      <c r="L226" s="16"/>
      <c r="M226" s="16"/>
      <c r="N226" s="16"/>
      <c r="O226" s="16"/>
      <c r="P226" s="16"/>
      <c r="Q226" s="16"/>
      <c r="R226" s="16"/>
      <c r="S226" s="16"/>
      <c r="T226" s="16"/>
      <c r="U226" s="17"/>
    </row>
    <row r="227" spans="2:21" x14ac:dyDescent="0.35">
      <c r="B227" s="24"/>
      <c r="C227" s="7"/>
      <c r="D227" s="16"/>
      <c r="E227" s="16"/>
      <c r="F227" s="16"/>
      <c r="G227" s="16"/>
      <c r="H227" s="16"/>
      <c r="I227" s="16"/>
      <c r="J227" s="16"/>
      <c r="K227" s="16"/>
      <c r="L227" s="16"/>
      <c r="M227" s="16"/>
      <c r="N227" s="16"/>
      <c r="O227" s="16"/>
      <c r="P227" s="16"/>
      <c r="Q227" s="16"/>
      <c r="R227" s="16"/>
      <c r="S227" s="16"/>
      <c r="T227" s="16"/>
      <c r="U227" s="17"/>
    </row>
    <row r="228" spans="2:21" x14ac:dyDescent="0.35">
      <c r="B228" s="24"/>
      <c r="C228" s="7"/>
      <c r="D228" s="16"/>
      <c r="E228" s="16"/>
      <c r="F228" s="16"/>
      <c r="G228" s="16"/>
      <c r="H228" s="16"/>
      <c r="I228" s="16"/>
      <c r="J228" s="16"/>
      <c r="K228" s="16"/>
      <c r="L228" s="16"/>
      <c r="M228" s="16"/>
      <c r="N228" s="16"/>
      <c r="O228" s="16"/>
      <c r="P228" s="16"/>
      <c r="Q228" s="16"/>
      <c r="R228" s="16"/>
      <c r="S228" s="16"/>
      <c r="T228" s="16"/>
      <c r="U228" s="17"/>
    </row>
    <row r="229" spans="2:21" x14ac:dyDescent="0.35">
      <c r="B229" s="24"/>
      <c r="C229" s="7"/>
      <c r="D229" s="16"/>
      <c r="E229" s="16"/>
      <c r="F229" s="16"/>
      <c r="G229" s="16"/>
      <c r="H229" s="16"/>
      <c r="I229" s="16"/>
      <c r="J229" s="16"/>
      <c r="K229" s="16"/>
      <c r="L229" s="16"/>
      <c r="M229" s="16"/>
      <c r="N229" s="16"/>
      <c r="O229" s="16"/>
      <c r="P229" s="16"/>
      <c r="Q229" s="16"/>
      <c r="R229" s="16"/>
      <c r="S229" s="16"/>
      <c r="T229" s="16"/>
      <c r="U229" s="17"/>
    </row>
    <row r="230" spans="2:21" x14ac:dyDescent="0.35">
      <c r="B230" s="24"/>
      <c r="C230" s="7"/>
      <c r="D230" s="16"/>
      <c r="E230" s="16"/>
      <c r="F230" s="16"/>
      <c r="G230" s="16"/>
      <c r="H230" s="16"/>
      <c r="I230" s="16"/>
      <c r="J230" s="16"/>
      <c r="K230" s="16"/>
      <c r="L230" s="16"/>
      <c r="M230" s="16"/>
      <c r="N230" s="16"/>
      <c r="O230" s="16"/>
      <c r="P230" s="16"/>
      <c r="Q230" s="16"/>
      <c r="R230" s="16"/>
      <c r="S230" s="16"/>
      <c r="T230" s="16"/>
      <c r="U230" s="17"/>
    </row>
    <row r="231" spans="2:21" x14ac:dyDescent="0.35">
      <c r="B231" s="24"/>
      <c r="C231" s="7"/>
      <c r="D231" s="16"/>
      <c r="E231" s="16"/>
      <c r="F231" s="16"/>
      <c r="G231" s="16"/>
      <c r="H231" s="16"/>
      <c r="I231" s="16"/>
      <c r="J231" s="16"/>
      <c r="K231" s="16"/>
      <c r="L231" s="16"/>
      <c r="M231" s="16"/>
      <c r="N231" s="16"/>
      <c r="O231" s="16"/>
      <c r="P231" s="16"/>
      <c r="Q231" s="16"/>
      <c r="R231" s="16"/>
      <c r="S231" s="16"/>
      <c r="T231" s="16"/>
      <c r="U231" s="17"/>
    </row>
    <row r="232" spans="2:21" x14ac:dyDescent="0.35">
      <c r="B232" s="24"/>
      <c r="C232" s="7"/>
      <c r="D232" s="16"/>
      <c r="E232" s="16"/>
      <c r="F232" s="16"/>
      <c r="G232" s="16"/>
      <c r="H232" s="16"/>
      <c r="I232" s="16"/>
      <c r="J232" s="16"/>
      <c r="K232" s="16"/>
      <c r="L232" s="16"/>
      <c r="M232" s="16"/>
      <c r="N232" s="16"/>
      <c r="O232" s="16"/>
      <c r="P232" s="16"/>
      <c r="Q232" s="16"/>
      <c r="R232" s="16"/>
      <c r="S232" s="16"/>
      <c r="T232" s="16"/>
      <c r="U232" s="17"/>
    </row>
    <row r="233" spans="2:21" x14ac:dyDescent="0.35">
      <c r="B233" s="24"/>
      <c r="C233" s="7"/>
      <c r="D233" s="16"/>
      <c r="E233" s="16"/>
      <c r="F233" s="16"/>
      <c r="G233" s="16"/>
      <c r="H233" s="16"/>
      <c r="I233" s="16"/>
      <c r="J233" s="16"/>
      <c r="K233" s="16"/>
      <c r="L233" s="16"/>
      <c r="M233" s="16"/>
      <c r="N233" s="16"/>
      <c r="O233" s="16"/>
      <c r="P233" s="16"/>
      <c r="Q233" s="16"/>
      <c r="R233" s="16"/>
      <c r="S233" s="16"/>
      <c r="T233" s="16"/>
      <c r="U233" s="17"/>
    </row>
    <row r="234" spans="2:21" x14ac:dyDescent="0.35">
      <c r="B234" s="24"/>
      <c r="C234" s="7"/>
      <c r="D234" s="16"/>
      <c r="E234" s="16"/>
      <c r="F234" s="16"/>
      <c r="G234" s="16"/>
      <c r="H234" s="16"/>
      <c r="I234" s="16"/>
      <c r="J234" s="16"/>
      <c r="K234" s="16"/>
      <c r="L234" s="16"/>
      <c r="M234" s="16"/>
      <c r="N234" s="16"/>
      <c r="O234" s="16"/>
      <c r="P234" s="16"/>
      <c r="Q234" s="16"/>
      <c r="R234" s="16"/>
      <c r="S234" s="16"/>
      <c r="T234" s="16"/>
      <c r="U234" s="17"/>
    </row>
    <row r="235" spans="2:21" x14ac:dyDescent="0.35">
      <c r="B235" s="24"/>
      <c r="C235" s="7"/>
      <c r="D235" s="16"/>
      <c r="E235" s="16"/>
      <c r="F235" s="16"/>
      <c r="G235" s="16"/>
      <c r="H235" s="16"/>
      <c r="I235" s="16"/>
      <c r="J235" s="16"/>
      <c r="K235" s="16"/>
      <c r="L235" s="16"/>
      <c r="M235" s="16"/>
      <c r="N235" s="16"/>
      <c r="O235" s="16"/>
      <c r="P235" s="16"/>
      <c r="Q235" s="16"/>
      <c r="R235" s="16"/>
      <c r="S235" s="16"/>
      <c r="T235" s="16"/>
      <c r="U235" s="17"/>
    </row>
    <row r="236" spans="2:21" x14ac:dyDescent="0.35">
      <c r="B236" s="24"/>
      <c r="C236" s="7"/>
      <c r="D236" s="16"/>
      <c r="E236" s="16"/>
      <c r="F236" s="16"/>
      <c r="G236" s="16"/>
      <c r="H236" s="16"/>
      <c r="I236" s="16"/>
      <c r="J236" s="16"/>
      <c r="K236" s="16"/>
      <c r="L236" s="16"/>
      <c r="M236" s="16"/>
      <c r="N236" s="16"/>
      <c r="O236" s="16"/>
      <c r="P236" s="16"/>
      <c r="Q236" s="16"/>
      <c r="R236" s="16"/>
      <c r="S236" s="16"/>
      <c r="T236" s="16"/>
      <c r="U236" s="17"/>
    </row>
    <row r="237" spans="2:21" x14ac:dyDescent="0.35">
      <c r="B237" s="24"/>
      <c r="C237" s="7"/>
      <c r="D237" s="16"/>
      <c r="E237" s="16"/>
      <c r="F237" s="16"/>
      <c r="G237" s="16"/>
      <c r="H237" s="16"/>
      <c r="I237" s="16"/>
      <c r="J237" s="16"/>
      <c r="K237" s="16"/>
      <c r="L237" s="16"/>
      <c r="M237" s="16"/>
      <c r="N237" s="16"/>
      <c r="O237" s="16"/>
      <c r="P237" s="16"/>
      <c r="Q237" s="16"/>
      <c r="R237" s="16"/>
      <c r="S237" s="16"/>
      <c r="T237" s="16"/>
      <c r="U237" s="17"/>
    </row>
    <row r="238" spans="2:21" x14ac:dyDescent="0.35">
      <c r="B238" s="24"/>
      <c r="C238" s="7"/>
      <c r="D238" s="16"/>
      <c r="E238" s="16"/>
      <c r="F238" s="16"/>
      <c r="G238" s="16"/>
      <c r="H238" s="16"/>
      <c r="I238" s="16"/>
      <c r="J238" s="16"/>
      <c r="K238" s="16"/>
      <c r="L238" s="16"/>
      <c r="M238" s="16"/>
      <c r="N238" s="16"/>
      <c r="O238" s="16"/>
      <c r="P238" s="16"/>
      <c r="Q238" s="16"/>
      <c r="R238" s="16"/>
      <c r="S238" s="16"/>
      <c r="T238" s="16"/>
      <c r="U238" s="17"/>
    </row>
    <row r="239" spans="2:21" x14ac:dyDescent="0.35">
      <c r="B239" s="24"/>
      <c r="C239" s="7"/>
      <c r="D239" s="16"/>
      <c r="E239" s="16"/>
      <c r="F239" s="16"/>
      <c r="G239" s="16"/>
      <c r="H239" s="16"/>
      <c r="I239" s="16"/>
      <c r="J239" s="16"/>
      <c r="K239" s="16"/>
      <c r="L239" s="16"/>
      <c r="M239" s="16"/>
      <c r="N239" s="16"/>
      <c r="O239" s="16"/>
      <c r="P239" s="16"/>
      <c r="Q239" s="16"/>
      <c r="R239" s="16"/>
      <c r="S239" s="16"/>
      <c r="T239" s="16"/>
      <c r="U239" s="17"/>
    </row>
    <row r="240" spans="2:21" x14ac:dyDescent="0.35">
      <c r="B240" s="24"/>
      <c r="C240" s="7"/>
      <c r="D240" s="16"/>
      <c r="E240" s="16"/>
      <c r="F240" s="16"/>
      <c r="G240" s="16"/>
      <c r="H240" s="16"/>
      <c r="I240" s="16"/>
      <c r="J240" s="16"/>
      <c r="K240" s="16"/>
      <c r="L240" s="16"/>
      <c r="M240" s="16"/>
      <c r="N240" s="16"/>
      <c r="O240" s="16"/>
      <c r="P240" s="16"/>
      <c r="Q240" s="16"/>
      <c r="R240" s="16"/>
      <c r="S240" s="16"/>
      <c r="T240" s="16"/>
      <c r="U240" s="17"/>
    </row>
    <row r="241" spans="2:21" x14ac:dyDescent="0.35">
      <c r="B241" s="24"/>
      <c r="C241" s="7"/>
      <c r="D241" s="16"/>
      <c r="E241" s="16"/>
      <c r="F241" s="16"/>
      <c r="G241" s="16"/>
      <c r="H241" s="16"/>
      <c r="I241" s="16"/>
      <c r="J241" s="16"/>
      <c r="K241" s="16"/>
      <c r="L241" s="16"/>
      <c r="M241" s="16"/>
      <c r="N241" s="16"/>
      <c r="O241" s="16"/>
      <c r="P241" s="16"/>
      <c r="Q241" s="16"/>
      <c r="R241" s="16"/>
      <c r="S241" s="16"/>
      <c r="T241" s="16"/>
      <c r="U241" s="17"/>
    </row>
    <row r="242" spans="2:21" x14ac:dyDescent="0.35">
      <c r="B242" s="24"/>
      <c r="C242" s="7"/>
      <c r="D242" s="16"/>
      <c r="E242" s="16"/>
      <c r="F242" s="16"/>
      <c r="G242" s="16"/>
      <c r="H242" s="16"/>
      <c r="I242" s="16"/>
      <c r="J242" s="16"/>
      <c r="K242" s="16"/>
      <c r="L242" s="16"/>
      <c r="M242" s="16"/>
      <c r="N242" s="16"/>
      <c r="O242" s="16"/>
      <c r="P242" s="16"/>
      <c r="Q242" s="16"/>
      <c r="R242" s="16"/>
      <c r="S242" s="16"/>
      <c r="T242" s="16"/>
      <c r="U242" s="17"/>
    </row>
    <row r="243" spans="2:21" x14ac:dyDescent="0.35">
      <c r="B243" s="24"/>
      <c r="C243" s="7"/>
      <c r="D243" s="16"/>
      <c r="E243" s="16"/>
      <c r="F243" s="16"/>
      <c r="G243" s="16"/>
      <c r="H243" s="16"/>
      <c r="I243" s="16"/>
      <c r="J243" s="16"/>
      <c r="K243" s="16"/>
      <c r="L243" s="16"/>
      <c r="M243" s="16"/>
      <c r="N243" s="16"/>
      <c r="O243" s="16"/>
      <c r="P243" s="16"/>
      <c r="Q243" s="16"/>
      <c r="R243" s="16"/>
      <c r="S243" s="16"/>
      <c r="T243" s="16"/>
      <c r="U243" s="17"/>
    </row>
    <row r="244" spans="2:21" x14ac:dyDescent="0.35">
      <c r="B244" s="24"/>
      <c r="C244" s="7"/>
      <c r="D244" s="16"/>
      <c r="E244" s="16"/>
      <c r="F244" s="16"/>
      <c r="G244" s="16"/>
      <c r="H244" s="16"/>
      <c r="I244" s="16"/>
      <c r="J244" s="16"/>
      <c r="K244" s="16"/>
      <c r="L244" s="16"/>
      <c r="M244" s="16"/>
      <c r="N244" s="16"/>
      <c r="O244" s="16"/>
      <c r="P244" s="16"/>
      <c r="Q244" s="16"/>
      <c r="R244" s="16"/>
      <c r="S244" s="16"/>
      <c r="T244" s="16"/>
      <c r="U244" s="17"/>
    </row>
    <row r="245" spans="2:21" x14ac:dyDescent="0.35">
      <c r="B245" s="24"/>
      <c r="C245" s="7"/>
      <c r="D245" s="16"/>
      <c r="E245" s="16"/>
      <c r="F245" s="16"/>
      <c r="G245" s="16"/>
      <c r="H245" s="16"/>
      <c r="I245" s="16"/>
      <c r="J245" s="16"/>
      <c r="K245" s="16"/>
      <c r="L245" s="16"/>
      <c r="M245" s="16"/>
      <c r="N245" s="16"/>
      <c r="O245" s="16"/>
      <c r="P245" s="16"/>
      <c r="Q245" s="16"/>
      <c r="R245" s="16"/>
      <c r="S245" s="16"/>
      <c r="T245" s="16"/>
      <c r="U245" s="17"/>
    </row>
    <row r="246" spans="2:21" x14ac:dyDescent="0.35">
      <c r="B246" s="24"/>
      <c r="C246" s="7"/>
      <c r="D246" s="16"/>
      <c r="E246" s="16"/>
      <c r="F246" s="16"/>
      <c r="G246" s="16"/>
      <c r="H246" s="16"/>
      <c r="I246" s="16"/>
      <c r="J246" s="16"/>
      <c r="K246" s="16"/>
      <c r="L246" s="16"/>
      <c r="M246" s="16"/>
      <c r="N246" s="16"/>
      <c r="O246" s="16"/>
      <c r="P246" s="16"/>
      <c r="Q246" s="16"/>
      <c r="R246" s="16"/>
      <c r="S246" s="16"/>
      <c r="T246" s="16"/>
      <c r="U246" s="17"/>
    </row>
    <row r="247" spans="2:21" x14ac:dyDescent="0.35">
      <c r="B247" s="24"/>
      <c r="C247" s="7"/>
      <c r="D247" s="16"/>
      <c r="E247" s="16"/>
      <c r="F247" s="16"/>
      <c r="G247" s="16"/>
      <c r="H247" s="16"/>
      <c r="I247" s="16"/>
      <c r="J247" s="16"/>
      <c r="K247" s="16"/>
      <c r="L247" s="16"/>
      <c r="M247" s="16"/>
      <c r="N247" s="16"/>
      <c r="O247" s="16"/>
      <c r="P247" s="16"/>
      <c r="Q247" s="16"/>
      <c r="R247" s="16"/>
      <c r="S247" s="16"/>
      <c r="T247" s="16"/>
      <c r="U247" s="17"/>
    </row>
    <row r="248" spans="2:21" x14ac:dyDescent="0.35">
      <c r="B248" s="24"/>
      <c r="C248" s="7"/>
      <c r="D248" s="16"/>
      <c r="E248" s="16"/>
      <c r="F248" s="16"/>
      <c r="G248" s="16"/>
      <c r="H248" s="16"/>
      <c r="I248" s="16"/>
      <c r="J248" s="16"/>
      <c r="K248" s="16"/>
      <c r="L248" s="16"/>
      <c r="M248" s="16"/>
      <c r="N248" s="16"/>
      <c r="O248" s="16"/>
      <c r="P248" s="16"/>
      <c r="Q248" s="16"/>
      <c r="R248" s="16"/>
      <c r="S248" s="16"/>
      <c r="T248" s="16"/>
      <c r="U248" s="17"/>
    </row>
    <row r="249" spans="2:21" x14ac:dyDescent="0.35">
      <c r="B249" s="24"/>
      <c r="C249" s="7"/>
      <c r="D249" s="16"/>
      <c r="E249" s="16"/>
      <c r="F249" s="16"/>
      <c r="G249" s="16"/>
      <c r="H249" s="16"/>
      <c r="I249" s="16"/>
      <c r="J249" s="16"/>
      <c r="K249" s="16"/>
      <c r="L249" s="16"/>
      <c r="M249" s="16"/>
      <c r="N249" s="16"/>
      <c r="O249" s="16"/>
      <c r="P249" s="16"/>
      <c r="Q249" s="16"/>
      <c r="R249" s="16"/>
      <c r="S249" s="16"/>
      <c r="T249" s="16"/>
      <c r="U249" s="17"/>
    </row>
    <row r="250" spans="2:21" x14ac:dyDescent="0.35">
      <c r="B250" s="24"/>
      <c r="C250" s="7"/>
      <c r="D250" s="16"/>
      <c r="E250" s="16"/>
      <c r="F250" s="16"/>
      <c r="G250" s="16"/>
      <c r="H250" s="16"/>
      <c r="I250" s="16"/>
      <c r="J250" s="16"/>
      <c r="K250" s="16"/>
      <c r="L250" s="16"/>
      <c r="M250" s="16"/>
      <c r="N250" s="16"/>
      <c r="O250" s="16"/>
      <c r="P250" s="16"/>
      <c r="Q250" s="16"/>
      <c r="R250" s="16"/>
      <c r="S250" s="16"/>
      <c r="T250" s="16"/>
      <c r="U250" s="17"/>
    </row>
    <row r="251" spans="2:21" x14ac:dyDescent="0.35">
      <c r="B251" s="24"/>
      <c r="C251" s="7"/>
      <c r="D251" s="16"/>
      <c r="E251" s="16"/>
      <c r="F251" s="16"/>
      <c r="G251" s="16"/>
      <c r="H251" s="16"/>
      <c r="I251" s="16"/>
      <c r="J251" s="16"/>
      <c r="K251" s="16"/>
      <c r="L251" s="16"/>
      <c r="M251" s="16"/>
      <c r="N251" s="16"/>
      <c r="O251" s="16"/>
      <c r="P251" s="16"/>
      <c r="Q251" s="16"/>
      <c r="R251" s="16"/>
      <c r="S251" s="16"/>
      <c r="T251" s="16"/>
      <c r="U251" s="17"/>
    </row>
    <row r="252" spans="2:21" x14ac:dyDescent="0.35">
      <c r="B252" s="24"/>
      <c r="C252" s="7"/>
      <c r="D252" s="16"/>
      <c r="E252" s="16"/>
      <c r="F252" s="16"/>
      <c r="G252" s="16"/>
      <c r="H252" s="16"/>
      <c r="I252" s="16"/>
      <c r="J252" s="16"/>
      <c r="K252" s="16"/>
      <c r="L252" s="16"/>
      <c r="M252" s="16"/>
      <c r="N252" s="16"/>
      <c r="O252" s="16"/>
      <c r="P252" s="16"/>
      <c r="Q252" s="16"/>
      <c r="R252" s="16"/>
      <c r="S252" s="16"/>
      <c r="T252" s="16"/>
      <c r="U252" s="17"/>
    </row>
    <row r="253" spans="2:21" x14ac:dyDescent="0.35">
      <c r="B253" s="24"/>
      <c r="C253" s="7"/>
      <c r="D253" s="16"/>
      <c r="E253" s="16"/>
      <c r="F253" s="16"/>
      <c r="G253" s="16"/>
      <c r="H253" s="16"/>
      <c r="I253" s="16"/>
      <c r="J253" s="16"/>
      <c r="K253" s="16"/>
      <c r="L253" s="16"/>
      <c r="M253" s="16"/>
      <c r="N253" s="16"/>
      <c r="O253" s="16"/>
      <c r="P253" s="16"/>
      <c r="Q253" s="16"/>
      <c r="R253" s="16"/>
      <c r="S253" s="16"/>
      <c r="T253" s="16"/>
      <c r="U253" s="17"/>
    </row>
    <row r="254" spans="2:21" x14ac:dyDescent="0.35">
      <c r="B254" s="24"/>
      <c r="C254" s="7"/>
      <c r="D254" s="16"/>
      <c r="E254" s="16"/>
      <c r="F254" s="16"/>
      <c r="G254" s="16"/>
      <c r="H254" s="16"/>
      <c r="I254" s="16"/>
      <c r="J254" s="16"/>
      <c r="K254" s="16"/>
      <c r="L254" s="16"/>
      <c r="M254" s="16"/>
      <c r="N254" s="16"/>
      <c r="O254" s="16"/>
      <c r="P254" s="16"/>
      <c r="Q254" s="16"/>
      <c r="R254" s="16"/>
      <c r="S254" s="16"/>
      <c r="T254" s="16"/>
      <c r="U254" s="17"/>
    </row>
    <row r="255" spans="2:21" x14ac:dyDescent="0.35">
      <c r="B255" s="24"/>
      <c r="C255" s="7"/>
      <c r="D255" s="16"/>
      <c r="E255" s="16"/>
      <c r="F255" s="16"/>
      <c r="G255" s="16"/>
      <c r="H255" s="16"/>
      <c r="I255" s="16"/>
      <c r="J255" s="16"/>
      <c r="K255" s="16"/>
      <c r="L255" s="16"/>
      <c r="M255" s="16"/>
      <c r="N255" s="16"/>
      <c r="O255" s="16"/>
      <c r="P255" s="16"/>
      <c r="Q255" s="16"/>
      <c r="R255" s="16"/>
      <c r="S255" s="16"/>
      <c r="T255" s="16"/>
      <c r="U255" s="17"/>
    </row>
    <row r="256" spans="2:21" x14ac:dyDescent="0.35">
      <c r="B256" s="24"/>
      <c r="C256" s="7"/>
      <c r="D256" s="16"/>
      <c r="E256" s="16"/>
      <c r="F256" s="16"/>
      <c r="G256" s="16"/>
      <c r="H256" s="16"/>
      <c r="I256" s="16"/>
      <c r="J256" s="16"/>
      <c r="K256" s="16"/>
      <c r="L256" s="16"/>
      <c r="M256" s="16"/>
      <c r="N256" s="16"/>
      <c r="O256" s="16"/>
      <c r="P256" s="16"/>
      <c r="Q256" s="16"/>
      <c r="R256" s="16"/>
      <c r="S256" s="16"/>
      <c r="T256" s="16"/>
      <c r="U256" s="17"/>
    </row>
    <row r="257" spans="2:21" x14ac:dyDescent="0.35">
      <c r="B257" s="24"/>
      <c r="C257" s="7"/>
      <c r="D257" s="16"/>
      <c r="E257" s="16"/>
      <c r="F257" s="16"/>
      <c r="G257" s="16"/>
      <c r="H257" s="16"/>
      <c r="I257" s="16"/>
      <c r="J257" s="16"/>
      <c r="K257" s="16"/>
      <c r="L257" s="16"/>
      <c r="M257" s="16"/>
      <c r="N257" s="16"/>
      <c r="O257" s="16"/>
      <c r="P257" s="16"/>
      <c r="Q257" s="16"/>
      <c r="R257" s="16"/>
      <c r="S257" s="16"/>
      <c r="T257" s="16"/>
      <c r="U257" s="17"/>
    </row>
    <row r="258" spans="2:21" x14ac:dyDescent="0.35">
      <c r="B258" s="24"/>
      <c r="C258" s="7"/>
      <c r="D258" s="16"/>
      <c r="E258" s="16"/>
      <c r="F258" s="16"/>
      <c r="G258" s="16"/>
      <c r="H258" s="16"/>
      <c r="I258" s="16"/>
      <c r="J258" s="16"/>
      <c r="K258" s="16"/>
      <c r="L258" s="16"/>
      <c r="M258" s="16"/>
      <c r="N258" s="16"/>
      <c r="O258" s="16"/>
      <c r="P258" s="16"/>
      <c r="Q258" s="16"/>
      <c r="R258" s="16"/>
      <c r="S258" s="16"/>
      <c r="T258" s="16"/>
      <c r="U258" s="17"/>
    </row>
    <row r="259" spans="2:21" x14ac:dyDescent="0.35">
      <c r="B259" s="24"/>
      <c r="C259" s="7"/>
      <c r="D259" s="16"/>
      <c r="E259" s="16"/>
      <c r="F259" s="16"/>
      <c r="G259" s="16"/>
      <c r="H259" s="16"/>
      <c r="I259" s="16"/>
      <c r="J259" s="16"/>
      <c r="K259" s="16"/>
      <c r="L259" s="16"/>
      <c r="M259" s="16"/>
      <c r="N259" s="16"/>
      <c r="O259" s="16"/>
      <c r="P259" s="16"/>
      <c r="Q259" s="16"/>
      <c r="R259" s="16"/>
      <c r="S259" s="16"/>
      <c r="T259" s="16"/>
      <c r="U259" s="17"/>
    </row>
    <row r="260" spans="2:21" x14ac:dyDescent="0.35">
      <c r="B260" s="24"/>
      <c r="C260" s="7"/>
      <c r="D260" s="16"/>
      <c r="E260" s="16"/>
      <c r="F260" s="16"/>
      <c r="G260" s="16"/>
      <c r="H260" s="16"/>
      <c r="I260" s="16"/>
      <c r="J260" s="16"/>
      <c r="K260" s="16"/>
      <c r="L260" s="16"/>
      <c r="M260" s="16"/>
      <c r="N260" s="16"/>
      <c r="O260" s="16"/>
      <c r="P260" s="16"/>
      <c r="Q260" s="16"/>
      <c r="R260" s="16"/>
      <c r="S260" s="16"/>
      <c r="T260" s="16"/>
      <c r="U260" s="17"/>
    </row>
    <row r="261" spans="2:21" x14ac:dyDescent="0.35">
      <c r="B261" s="24"/>
      <c r="C261" s="7"/>
      <c r="D261" s="16"/>
      <c r="E261" s="16"/>
      <c r="F261" s="16"/>
      <c r="G261" s="16"/>
      <c r="H261" s="16"/>
      <c r="I261" s="16"/>
      <c r="J261" s="16"/>
      <c r="K261" s="16"/>
      <c r="L261" s="16"/>
      <c r="M261" s="16"/>
      <c r="N261" s="16"/>
      <c r="O261" s="16"/>
      <c r="P261" s="16"/>
      <c r="Q261" s="16"/>
      <c r="R261" s="16"/>
      <c r="S261" s="16"/>
      <c r="T261" s="16"/>
      <c r="U261" s="17"/>
    </row>
    <row r="262" spans="2:21" x14ac:dyDescent="0.35">
      <c r="B262" s="24"/>
      <c r="C262" s="7"/>
      <c r="D262" s="16"/>
      <c r="E262" s="16"/>
      <c r="F262" s="16"/>
      <c r="G262" s="16"/>
      <c r="H262" s="16"/>
      <c r="I262" s="16"/>
      <c r="J262" s="16"/>
      <c r="K262" s="16"/>
      <c r="L262" s="16"/>
      <c r="M262" s="16"/>
      <c r="N262" s="16"/>
      <c r="O262" s="16"/>
      <c r="P262" s="16"/>
      <c r="Q262" s="16"/>
      <c r="R262" s="16"/>
      <c r="S262" s="16"/>
      <c r="T262" s="16"/>
      <c r="U262" s="17"/>
    </row>
    <row r="263" spans="2:21" x14ac:dyDescent="0.35">
      <c r="B263" s="24"/>
      <c r="C263" s="7"/>
      <c r="D263" s="16"/>
      <c r="E263" s="16"/>
      <c r="F263" s="16"/>
      <c r="G263" s="16"/>
      <c r="H263" s="16"/>
      <c r="I263" s="16"/>
      <c r="J263" s="16"/>
      <c r="K263" s="16"/>
      <c r="L263" s="16"/>
      <c r="M263" s="16"/>
      <c r="N263" s="16"/>
      <c r="O263" s="16"/>
      <c r="P263" s="16"/>
      <c r="Q263" s="16"/>
      <c r="R263" s="16"/>
      <c r="S263" s="16"/>
      <c r="T263" s="16"/>
      <c r="U263" s="17"/>
    </row>
    <row r="264" spans="2:21" x14ac:dyDescent="0.35">
      <c r="B264" s="24"/>
      <c r="C264" s="7"/>
      <c r="D264" s="16"/>
      <c r="E264" s="16"/>
      <c r="F264" s="16"/>
      <c r="G264" s="16"/>
      <c r="H264" s="16"/>
      <c r="I264" s="16"/>
      <c r="J264" s="16"/>
      <c r="K264" s="16"/>
      <c r="L264" s="16"/>
      <c r="M264" s="16"/>
      <c r="N264" s="16"/>
      <c r="O264" s="16"/>
      <c r="P264" s="16"/>
      <c r="Q264" s="16"/>
      <c r="R264" s="16"/>
      <c r="S264" s="16"/>
      <c r="T264" s="16"/>
      <c r="U264" s="17"/>
    </row>
    <row r="265" spans="2:21" x14ac:dyDescent="0.35">
      <c r="B265" s="24"/>
      <c r="C265" s="7"/>
      <c r="D265" s="16"/>
      <c r="E265" s="16"/>
      <c r="F265" s="16"/>
      <c r="G265" s="16"/>
      <c r="H265" s="16"/>
      <c r="I265" s="16"/>
      <c r="J265" s="16"/>
      <c r="K265" s="16"/>
      <c r="L265" s="16"/>
      <c r="M265" s="16"/>
      <c r="N265" s="16"/>
      <c r="O265" s="16"/>
      <c r="P265" s="16"/>
      <c r="Q265" s="16"/>
      <c r="R265" s="16"/>
      <c r="S265" s="16"/>
      <c r="T265" s="16"/>
      <c r="U265" s="17"/>
    </row>
    <row r="266" spans="2:21" x14ac:dyDescent="0.35">
      <c r="B266" s="24"/>
      <c r="C266" s="7"/>
      <c r="D266" s="16"/>
      <c r="E266" s="16"/>
      <c r="F266" s="16"/>
      <c r="G266" s="16"/>
      <c r="H266" s="16"/>
      <c r="I266" s="16"/>
      <c r="J266" s="16"/>
      <c r="K266" s="16"/>
      <c r="L266" s="16"/>
      <c r="M266" s="16"/>
      <c r="N266" s="16"/>
      <c r="O266" s="16"/>
      <c r="P266" s="16"/>
      <c r="Q266" s="16"/>
      <c r="R266" s="16"/>
      <c r="S266" s="16"/>
      <c r="T266" s="16"/>
      <c r="U266" s="17"/>
    </row>
    <row r="267" spans="2:21" x14ac:dyDescent="0.35">
      <c r="B267" s="24"/>
      <c r="C267" s="7"/>
      <c r="D267" s="16"/>
      <c r="E267" s="16"/>
      <c r="F267" s="16"/>
      <c r="G267" s="16"/>
      <c r="H267" s="16"/>
      <c r="I267" s="16"/>
      <c r="J267" s="16"/>
      <c r="K267" s="16"/>
      <c r="L267" s="16"/>
      <c r="M267" s="16"/>
      <c r="N267" s="16"/>
      <c r="O267" s="16"/>
      <c r="P267" s="16"/>
      <c r="Q267" s="16"/>
      <c r="R267" s="16"/>
      <c r="S267" s="16"/>
      <c r="T267" s="16"/>
      <c r="U267" s="17"/>
    </row>
    <row r="268" spans="2:21" x14ac:dyDescent="0.35">
      <c r="B268" s="24"/>
      <c r="C268" s="7"/>
      <c r="D268" s="16"/>
      <c r="E268" s="16"/>
      <c r="F268" s="16"/>
      <c r="G268" s="16"/>
      <c r="H268" s="16"/>
      <c r="I268" s="16"/>
      <c r="J268" s="16"/>
      <c r="K268" s="16"/>
      <c r="L268" s="16"/>
      <c r="M268" s="16"/>
      <c r="N268" s="16"/>
      <c r="O268" s="16"/>
      <c r="P268" s="16"/>
      <c r="Q268" s="16"/>
      <c r="R268" s="16"/>
      <c r="S268" s="16"/>
      <c r="T268" s="16"/>
      <c r="U268" s="17"/>
    </row>
    <row r="269" spans="2:21" x14ac:dyDescent="0.35">
      <c r="B269" s="24"/>
      <c r="C269" s="7"/>
      <c r="D269" s="16"/>
      <c r="E269" s="16"/>
      <c r="F269" s="16"/>
      <c r="G269" s="16"/>
      <c r="H269" s="16"/>
      <c r="I269" s="16"/>
      <c r="J269" s="16"/>
      <c r="K269" s="16"/>
      <c r="L269" s="16"/>
      <c r="M269" s="16"/>
      <c r="N269" s="16"/>
      <c r="O269" s="16"/>
      <c r="P269" s="16"/>
      <c r="Q269" s="16"/>
      <c r="R269" s="16"/>
      <c r="S269" s="16"/>
      <c r="T269" s="16"/>
      <c r="U269" s="17"/>
    </row>
    <row r="270" spans="2:21" x14ac:dyDescent="0.35">
      <c r="B270" s="24"/>
      <c r="C270" s="7"/>
      <c r="D270" s="16"/>
      <c r="E270" s="16"/>
      <c r="F270" s="16"/>
      <c r="G270" s="16"/>
      <c r="H270" s="16"/>
      <c r="I270" s="16"/>
      <c r="J270" s="16"/>
      <c r="K270" s="16"/>
      <c r="L270" s="16"/>
      <c r="M270" s="16"/>
      <c r="N270" s="16"/>
      <c r="O270" s="16"/>
      <c r="P270" s="16"/>
      <c r="Q270" s="16"/>
      <c r="R270" s="16"/>
      <c r="S270" s="16"/>
      <c r="T270" s="16"/>
      <c r="U270" s="17"/>
    </row>
    <row r="271" spans="2:21" x14ac:dyDescent="0.35">
      <c r="B271" s="24"/>
      <c r="C271" s="7"/>
      <c r="D271" s="16"/>
      <c r="E271" s="16"/>
      <c r="F271" s="16"/>
      <c r="G271" s="16"/>
      <c r="H271" s="16"/>
      <c r="I271" s="16"/>
      <c r="J271" s="16"/>
      <c r="K271" s="16"/>
      <c r="L271" s="16"/>
      <c r="M271" s="16"/>
      <c r="N271" s="16"/>
      <c r="O271" s="16"/>
      <c r="P271" s="16"/>
      <c r="Q271" s="16"/>
      <c r="R271" s="16"/>
      <c r="S271" s="16"/>
      <c r="T271" s="16"/>
      <c r="U271" s="17"/>
    </row>
    <row r="272" spans="2:21" x14ac:dyDescent="0.35">
      <c r="B272" s="24"/>
      <c r="C272" s="7"/>
      <c r="D272" s="16"/>
      <c r="E272" s="16"/>
      <c r="F272" s="16"/>
      <c r="G272" s="16"/>
      <c r="H272" s="16"/>
      <c r="I272" s="16"/>
      <c r="J272" s="16"/>
      <c r="K272" s="16"/>
      <c r="L272" s="16"/>
      <c r="M272" s="16"/>
      <c r="N272" s="16"/>
      <c r="O272" s="16"/>
      <c r="P272" s="16"/>
      <c r="Q272" s="16"/>
      <c r="R272" s="16"/>
      <c r="S272" s="16"/>
      <c r="T272" s="16"/>
      <c r="U272" s="17"/>
    </row>
    <row r="273" spans="2:21" x14ac:dyDescent="0.35">
      <c r="B273" s="24"/>
      <c r="C273" s="7"/>
      <c r="D273" s="16"/>
      <c r="E273" s="16"/>
      <c r="F273" s="16"/>
      <c r="G273" s="16"/>
      <c r="H273" s="16"/>
      <c r="I273" s="16"/>
      <c r="J273" s="16"/>
      <c r="K273" s="16"/>
      <c r="L273" s="16"/>
      <c r="M273" s="16"/>
      <c r="N273" s="16"/>
      <c r="O273" s="16"/>
      <c r="P273" s="16"/>
      <c r="Q273" s="16"/>
      <c r="R273" s="16"/>
      <c r="S273" s="16"/>
      <c r="T273" s="16"/>
      <c r="U273" s="17"/>
    </row>
    <row r="274" spans="2:21" x14ac:dyDescent="0.35">
      <c r="B274" s="24"/>
      <c r="C274" s="7"/>
      <c r="D274" s="16"/>
      <c r="E274" s="16"/>
      <c r="F274" s="16"/>
      <c r="G274" s="16"/>
      <c r="H274" s="16"/>
      <c r="I274" s="16"/>
      <c r="J274" s="16"/>
      <c r="K274" s="16"/>
      <c r="L274" s="16"/>
      <c r="M274" s="16"/>
      <c r="N274" s="16"/>
      <c r="O274" s="16"/>
      <c r="P274" s="16"/>
      <c r="Q274" s="16"/>
      <c r="R274" s="16"/>
      <c r="S274" s="16"/>
      <c r="T274" s="16"/>
      <c r="U274" s="17"/>
    </row>
    <row r="275" spans="2:21" x14ac:dyDescent="0.35">
      <c r="B275" s="24"/>
      <c r="C275" s="7"/>
      <c r="D275" s="16"/>
      <c r="E275" s="16"/>
      <c r="F275" s="16"/>
      <c r="G275" s="16"/>
      <c r="H275" s="16"/>
      <c r="I275" s="16"/>
      <c r="J275" s="16"/>
      <c r="K275" s="16"/>
      <c r="L275" s="16"/>
      <c r="M275" s="16"/>
      <c r="N275" s="16"/>
      <c r="O275" s="16"/>
      <c r="P275" s="16"/>
      <c r="Q275" s="16"/>
      <c r="R275" s="16"/>
      <c r="S275" s="16"/>
      <c r="T275" s="16"/>
      <c r="U275" s="17"/>
    </row>
    <row r="276" spans="2:21" x14ac:dyDescent="0.35">
      <c r="B276" s="24"/>
      <c r="C276" s="7"/>
      <c r="D276" s="16"/>
      <c r="E276" s="16"/>
      <c r="F276" s="16"/>
      <c r="G276" s="16"/>
      <c r="H276" s="16"/>
      <c r="I276" s="16"/>
      <c r="J276" s="16"/>
      <c r="K276" s="16"/>
      <c r="L276" s="16"/>
      <c r="M276" s="16"/>
      <c r="N276" s="16"/>
      <c r="O276" s="16"/>
      <c r="P276" s="16"/>
      <c r="Q276" s="16"/>
      <c r="R276" s="16"/>
      <c r="S276" s="16"/>
      <c r="T276" s="16"/>
      <c r="U276" s="17"/>
    </row>
    <row r="277" spans="2:21" x14ac:dyDescent="0.35">
      <c r="B277" s="24"/>
      <c r="C277" s="7"/>
      <c r="D277" s="16"/>
      <c r="E277" s="16"/>
      <c r="F277" s="16"/>
      <c r="G277" s="16"/>
      <c r="H277" s="16"/>
      <c r="I277" s="16"/>
      <c r="J277" s="16"/>
      <c r="K277" s="16"/>
      <c r="L277" s="16"/>
      <c r="M277" s="16"/>
      <c r="N277" s="16"/>
      <c r="O277" s="16"/>
      <c r="P277" s="16"/>
      <c r="Q277" s="16"/>
      <c r="R277" s="16"/>
      <c r="S277" s="16"/>
      <c r="T277" s="16"/>
      <c r="U277" s="17"/>
    </row>
    <row r="278" spans="2:21" x14ac:dyDescent="0.35">
      <c r="B278" s="24"/>
      <c r="C278" s="7"/>
      <c r="D278" s="16"/>
      <c r="E278" s="16"/>
      <c r="F278" s="16"/>
      <c r="G278" s="16"/>
      <c r="H278" s="16"/>
      <c r="I278" s="16"/>
      <c r="J278" s="16"/>
      <c r="K278" s="16"/>
      <c r="L278" s="16"/>
      <c r="M278" s="16"/>
      <c r="N278" s="16"/>
      <c r="O278" s="16"/>
      <c r="P278" s="16"/>
      <c r="Q278" s="16"/>
      <c r="R278" s="16"/>
      <c r="S278" s="16"/>
      <c r="T278" s="16"/>
      <c r="U278" s="17"/>
    </row>
    <row r="279" spans="2:21" x14ac:dyDescent="0.35">
      <c r="B279" s="24"/>
      <c r="C279" s="7"/>
      <c r="D279" s="16"/>
      <c r="E279" s="16"/>
      <c r="F279" s="16"/>
      <c r="G279" s="16"/>
      <c r="H279" s="16"/>
      <c r="I279" s="16"/>
      <c r="J279" s="16"/>
      <c r="K279" s="16"/>
      <c r="L279" s="16"/>
      <c r="M279" s="16"/>
      <c r="N279" s="16"/>
      <c r="O279" s="16"/>
      <c r="P279" s="16"/>
      <c r="Q279" s="16"/>
      <c r="R279" s="16"/>
      <c r="S279" s="16"/>
      <c r="T279" s="16"/>
      <c r="U279" s="17"/>
    </row>
    <row r="280" spans="2:21" x14ac:dyDescent="0.35">
      <c r="B280" s="24"/>
      <c r="C280" s="7"/>
      <c r="D280" s="16"/>
      <c r="E280" s="16"/>
      <c r="F280" s="16"/>
      <c r="G280" s="16"/>
      <c r="H280" s="16"/>
      <c r="I280" s="16"/>
      <c r="J280" s="16"/>
      <c r="K280" s="16"/>
      <c r="L280" s="16"/>
      <c r="M280" s="16"/>
      <c r="N280" s="16"/>
      <c r="O280" s="16"/>
      <c r="P280" s="16"/>
      <c r="Q280" s="16"/>
      <c r="R280" s="16"/>
      <c r="S280" s="16"/>
      <c r="T280" s="16"/>
      <c r="U280" s="17"/>
    </row>
    <row r="281" spans="2:21" x14ac:dyDescent="0.35">
      <c r="B281" s="24"/>
      <c r="C281" s="7"/>
      <c r="D281" s="16"/>
      <c r="E281" s="16"/>
      <c r="F281" s="16"/>
      <c r="G281" s="16"/>
      <c r="H281" s="16"/>
      <c r="I281" s="16"/>
      <c r="J281" s="16"/>
      <c r="K281" s="16"/>
      <c r="L281" s="16"/>
      <c r="M281" s="16"/>
      <c r="N281" s="16"/>
      <c r="O281" s="16"/>
      <c r="P281" s="16"/>
      <c r="Q281" s="16"/>
      <c r="R281" s="16"/>
      <c r="S281" s="16"/>
      <c r="T281" s="16"/>
      <c r="U281" s="17"/>
    </row>
    <row r="282" spans="2:21" x14ac:dyDescent="0.35">
      <c r="B282" s="24"/>
      <c r="C282" s="7"/>
      <c r="D282" s="16"/>
      <c r="E282" s="16"/>
      <c r="F282" s="16"/>
      <c r="G282" s="16"/>
      <c r="H282" s="16"/>
      <c r="I282" s="16"/>
      <c r="J282" s="16"/>
      <c r="K282" s="16"/>
      <c r="L282" s="16"/>
      <c r="M282" s="16"/>
      <c r="N282" s="16"/>
      <c r="O282" s="16"/>
      <c r="P282" s="16"/>
      <c r="Q282" s="16"/>
      <c r="R282" s="16"/>
      <c r="S282" s="16"/>
      <c r="T282" s="16"/>
      <c r="U282" s="17"/>
    </row>
    <row r="283" spans="2:21" x14ac:dyDescent="0.35">
      <c r="B283" s="24"/>
      <c r="C283" s="7"/>
      <c r="D283" s="16"/>
      <c r="E283" s="16"/>
      <c r="F283" s="16"/>
      <c r="G283" s="16"/>
      <c r="H283" s="16"/>
      <c r="I283" s="16"/>
      <c r="J283" s="16"/>
      <c r="K283" s="16"/>
      <c r="L283" s="16"/>
      <c r="M283" s="16"/>
      <c r="N283" s="16"/>
      <c r="O283" s="16"/>
      <c r="P283" s="16"/>
      <c r="Q283" s="16"/>
      <c r="R283" s="16"/>
      <c r="S283" s="16"/>
      <c r="T283" s="16"/>
      <c r="U283" s="17"/>
    </row>
    <row r="284" spans="2:21" x14ac:dyDescent="0.35">
      <c r="B284" s="24"/>
      <c r="C284" s="7"/>
      <c r="D284" s="16"/>
      <c r="E284" s="16"/>
      <c r="F284" s="16"/>
      <c r="G284" s="16"/>
      <c r="H284" s="16"/>
      <c r="I284" s="16"/>
      <c r="J284" s="16"/>
      <c r="K284" s="16"/>
      <c r="L284" s="16"/>
      <c r="M284" s="16"/>
      <c r="N284" s="16"/>
      <c r="O284" s="16"/>
      <c r="P284" s="16"/>
      <c r="Q284" s="16"/>
      <c r="R284" s="16"/>
      <c r="S284" s="16"/>
      <c r="T284" s="16"/>
      <c r="U284" s="17"/>
    </row>
    <row r="285" spans="2:21" x14ac:dyDescent="0.35">
      <c r="B285" s="24"/>
      <c r="C285" s="7"/>
      <c r="D285" s="16"/>
      <c r="E285" s="16"/>
      <c r="F285" s="16"/>
      <c r="G285" s="16"/>
      <c r="H285" s="16"/>
      <c r="I285" s="16"/>
      <c r="J285" s="16"/>
      <c r="K285" s="16"/>
      <c r="L285" s="16"/>
      <c r="M285" s="16"/>
      <c r="N285" s="16"/>
      <c r="O285" s="16"/>
      <c r="P285" s="16"/>
      <c r="Q285" s="16"/>
      <c r="R285" s="16"/>
      <c r="S285" s="16"/>
      <c r="T285" s="16"/>
      <c r="U285" s="17"/>
    </row>
    <row r="286" spans="2:21" x14ac:dyDescent="0.35">
      <c r="B286" s="24"/>
      <c r="C286" s="7"/>
      <c r="D286" s="16"/>
      <c r="E286" s="16"/>
      <c r="F286" s="16"/>
      <c r="G286" s="16"/>
      <c r="H286" s="16"/>
      <c r="I286" s="16"/>
      <c r="J286" s="16"/>
      <c r="K286" s="16"/>
      <c r="L286" s="16"/>
      <c r="M286" s="16"/>
      <c r="N286" s="16"/>
      <c r="O286" s="16"/>
      <c r="P286" s="16"/>
      <c r="Q286" s="16"/>
      <c r="R286" s="16"/>
      <c r="S286" s="16"/>
      <c r="T286" s="16"/>
      <c r="U286" s="17"/>
    </row>
    <row r="287" spans="2:21" x14ac:dyDescent="0.35">
      <c r="B287" s="24"/>
      <c r="C287" s="7"/>
      <c r="D287" s="16"/>
      <c r="E287" s="16"/>
      <c r="F287" s="16"/>
      <c r="G287" s="16"/>
      <c r="H287" s="16"/>
      <c r="I287" s="16"/>
      <c r="J287" s="16"/>
      <c r="K287" s="16"/>
      <c r="L287" s="16"/>
      <c r="M287" s="16"/>
      <c r="N287" s="16"/>
      <c r="O287" s="16"/>
      <c r="P287" s="16"/>
      <c r="Q287" s="16"/>
      <c r="R287" s="16"/>
      <c r="S287" s="16"/>
      <c r="T287" s="16"/>
      <c r="U287" s="17"/>
    </row>
    <row r="288" spans="2:21" x14ac:dyDescent="0.35">
      <c r="B288" s="24"/>
      <c r="C288" s="7"/>
      <c r="D288" s="16"/>
      <c r="E288" s="16"/>
      <c r="F288" s="16"/>
      <c r="G288" s="16"/>
      <c r="H288" s="16"/>
      <c r="I288" s="16"/>
      <c r="J288" s="16"/>
      <c r="K288" s="16"/>
      <c r="L288" s="16"/>
      <c r="M288" s="16"/>
      <c r="N288" s="16"/>
      <c r="O288" s="16"/>
      <c r="P288" s="16"/>
      <c r="Q288" s="16"/>
      <c r="R288" s="16"/>
      <c r="S288" s="16"/>
      <c r="T288" s="16"/>
      <c r="U288" s="17"/>
    </row>
    <row r="289" spans="2:21" x14ac:dyDescent="0.35">
      <c r="B289" s="24"/>
      <c r="C289" s="7"/>
      <c r="D289" s="16"/>
      <c r="E289" s="16"/>
      <c r="F289" s="16"/>
      <c r="G289" s="16"/>
      <c r="H289" s="16"/>
      <c r="I289" s="16"/>
      <c r="J289" s="16"/>
      <c r="K289" s="16"/>
      <c r="L289" s="16"/>
      <c r="M289" s="16"/>
      <c r="N289" s="16"/>
      <c r="O289" s="16"/>
      <c r="P289" s="16"/>
      <c r="Q289" s="16"/>
      <c r="R289" s="16"/>
      <c r="S289" s="16"/>
      <c r="T289" s="16"/>
      <c r="U289" s="17"/>
    </row>
    <row r="290" spans="2:21" x14ac:dyDescent="0.35">
      <c r="B290" s="24"/>
      <c r="C290" s="7"/>
      <c r="D290" s="16"/>
      <c r="E290" s="16"/>
      <c r="F290" s="16"/>
      <c r="G290" s="16"/>
      <c r="H290" s="16"/>
      <c r="I290" s="16"/>
      <c r="J290" s="16"/>
      <c r="K290" s="16"/>
      <c r="L290" s="16"/>
      <c r="M290" s="16"/>
      <c r="N290" s="16"/>
      <c r="O290" s="16"/>
      <c r="P290" s="16"/>
      <c r="Q290" s="16"/>
      <c r="R290" s="16"/>
      <c r="S290" s="16"/>
      <c r="T290" s="16"/>
      <c r="U290" s="17"/>
    </row>
    <row r="291" spans="2:21" x14ac:dyDescent="0.35">
      <c r="B291" s="24"/>
      <c r="C291" s="7"/>
      <c r="D291" s="16"/>
      <c r="E291" s="16"/>
      <c r="F291" s="16"/>
      <c r="G291" s="16"/>
      <c r="H291" s="16"/>
      <c r="I291" s="16"/>
      <c r="J291" s="16"/>
      <c r="K291" s="16"/>
      <c r="L291" s="16"/>
      <c r="M291" s="16"/>
      <c r="N291" s="16"/>
      <c r="O291" s="16"/>
      <c r="P291" s="16"/>
      <c r="Q291" s="16"/>
      <c r="R291" s="16"/>
      <c r="S291" s="16"/>
      <c r="T291" s="16"/>
      <c r="U291" s="17"/>
    </row>
    <row r="292" spans="2:21" x14ac:dyDescent="0.35">
      <c r="B292" s="24"/>
      <c r="C292" s="7"/>
      <c r="D292" s="16"/>
      <c r="E292" s="16"/>
      <c r="F292" s="16"/>
      <c r="G292" s="16"/>
      <c r="H292" s="16"/>
      <c r="I292" s="16"/>
      <c r="J292" s="16"/>
      <c r="K292" s="16"/>
      <c r="L292" s="16"/>
      <c r="M292" s="16"/>
      <c r="N292" s="16"/>
      <c r="O292" s="16"/>
      <c r="P292" s="16"/>
      <c r="Q292" s="16"/>
      <c r="R292" s="16"/>
      <c r="S292" s="16"/>
      <c r="T292" s="16"/>
      <c r="U292" s="17"/>
    </row>
    <row r="293" spans="2:21" x14ac:dyDescent="0.35">
      <c r="B293" s="24"/>
      <c r="C293" s="7"/>
      <c r="D293" s="16"/>
      <c r="E293" s="16"/>
      <c r="F293" s="16"/>
      <c r="G293" s="16"/>
      <c r="H293" s="16"/>
      <c r="I293" s="16"/>
      <c r="J293" s="16"/>
      <c r="K293" s="16"/>
      <c r="L293" s="16"/>
      <c r="M293" s="16"/>
      <c r="N293" s="16"/>
      <c r="O293" s="16"/>
      <c r="P293" s="16"/>
      <c r="Q293" s="16"/>
      <c r="R293" s="16"/>
      <c r="S293" s="16"/>
      <c r="T293" s="16"/>
      <c r="U293" s="17"/>
    </row>
    <row r="294" spans="2:21" x14ac:dyDescent="0.35">
      <c r="B294" s="24"/>
      <c r="C294" s="7"/>
      <c r="D294" s="16"/>
      <c r="E294" s="16"/>
      <c r="F294" s="16"/>
      <c r="G294" s="16"/>
      <c r="H294" s="16"/>
      <c r="I294" s="16"/>
      <c r="J294" s="16"/>
      <c r="K294" s="16"/>
      <c r="L294" s="16"/>
      <c r="M294" s="16"/>
      <c r="N294" s="16"/>
      <c r="O294" s="16"/>
      <c r="P294" s="16"/>
      <c r="Q294" s="16"/>
      <c r="R294" s="16"/>
      <c r="S294" s="16"/>
      <c r="T294" s="16"/>
      <c r="U294" s="17"/>
    </row>
    <row r="295" spans="2:21" x14ac:dyDescent="0.35">
      <c r="B295" s="24"/>
      <c r="C295" s="7"/>
      <c r="D295" s="16"/>
      <c r="E295" s="16"/>
      <c r="F295" s="16"/>
      <c r="G295" s="16"/>
      <c r="H295" s="16"/>
      <c r="I295" s="16"/>
      <c r="J295" s="16"/>
      <c r="K295" s="16"/>
      <c r="L295" s="16"/>
      <c r="M295" s="16"/>
      <c r="N295" s="16"/>
      <c r="O295" s="16"/>
      <c r="P295" s="16"/>
      <c r="Q295" s="16"/>
      <c r="R295" s="16"/>
      <c r="S295" s="16"/>
      <c r="T295" s="16"/>
      <c r="U295" s="17"/>
    </row>
    <row r="296" spans="2:21" x14ac:dyDescent="0.35">
      <c r="B296" s="24"/>
      <c r="C296" s="7"/>
      <c r="D296" s="16"/>
      <c r="E296" s="16"/>
      <c r="F296" s="16"/>
      <c r="G296" s="16"/>
      <c r="H296" s="16"/>
      <c r="I296" s="16"/>
      <c r="J296" s="16"/>
      <c r="K296" s="16"/>
      <c r="L296" s="16"/>
      <c r="M296" s="16"/>
      <c r="N296" s="16"/>
      <c r="O296" s="16"/>
      <c r="P296" s="16"/>
      <c r="Q296" s="16"/>
      <c r="R296" s="16"/>
      <c r="S296" s="16"/>
      <c r="T296" s="16"/>
      <c r="U296" s="17"/>
    </row>
    <row r="297" spans="2:21" x14ac:dyDescent="0.35">
      <c r="B297" s="24"/>
      <c r="C297" s="7"/>
      <c r="D297" s="16"/>
      <c r="E297" s="16"/>
      <c r="F297" s="16"/>
      <c r="G297" s="16"/>
      <c r="H297" s="16"/>
      <c r="I297" s="16"/>
      <c r="J297" s="16"/>
      <c r="K297" s="16"/>
      <c r="L297" s="16"/>
      <c r="M297" s="16"/>
      <c r="N297" s="16"/>
      <c r="O297" s="16"/>
      <c r="P297" s="16"/>
      <c r="Q297" s="16"/>
      <c r="R297" s="16"/>
      <c r="S297" s="16"/>
      <c r="T297" s="16"/>
      <c r="U297" s="17"/>
    </row>
    <row r="298" spans="2:21" x14ac:dyDescent="0.35">
      <c r="B298" s="24"/>
      <c r="C298" s="7"/>
      <c r="D298" s="16"/>
      <c r="E298" s="16"/>
      <c r="F298" s="16"/>
      <c r="G298" s="16"/>
      <c r="H298" s="16"/>
      <c r="I298" s="16"/>
      <c r="J298" s="16"/>
      <c r="K298" s="16"/>
      <c r="L298" s="16"/>
      <c r="M298" s="16"/>
      <c r="N298" s="16"/>
      <c r="O298" s="16"/>
      <c r="P298" s="16"/>
      <c r="Q298" s="16"/>
      <c r="R298" s="16"/>
      <c r="S298" s="16"/>
      <c r="T298" s="16"/>
      <c r="U298" s="17"/>
    </row>
    <row r="299" spans="2:21" x14ac:dyDescent="0.35">
      <c r="B299" s="24"/>
      <c r="C299" s="7"/>
      <c r="D299" s="16"/>
      <c r="E299" s="16"/>
      <c r="F299" s="16"/>
      <c r="G299" s="16"/>
      <c r="H299" s="16"/>
      <c r="I299" s="16"/>
      <c r="J299" s="16"/>
      <c r="K299" s="16"/>
      <c r="L299" s="16"/>
      <c r="M299" s="16"/>
      <c r="N299" s="16"/>
      <c r="O299" s="16"/>
      <c r="P299" s="16"/>
      <c r="Q299" s="16"/>
      <c r="R299" s="16"/>
      <c r="S299" s="16"/>
      <c r="T299" s="16"/>
      <c r="U299" s="17"/>
    </row>
    <row r="300" spans="2:21" x14ac:dyDescent="0.35">
      <c r="B300" s="24"/>
      <c r="C300" s="7"/>
      <c r="D300" s="16"/>
      <c r="E300" s="16"/>
      <c r="F300" s="16"/>
      <c r="G300" s="16"/>
      <c r="H300" s="16"/>
      <c r="I300" s="16"/>
      <c r="J300" s="16"/>
      <c r="K300" s="16"/>
      <c r="L300" s="16"/>
      <c r="M300" s="16"/>
      <c r="N300" s="16"/>
      <c r="O300" s="16"/>
      <c r="P300" s="16"/>
      <c r="Q300" s="16"/>
      <c r="R300" s="16"/>
      <c r="S300" s="16"/>
      <c r="T300" s="16"/>
      <c r="U300" s="17"/>
    </row>
    <row r="301" spans="2:21" x14ac:dyDescent="0.35">
      <c r="B301" s="24"/>
      <c r="C301" s="7"/>
      <c r="D301" s="16"/>
      <c r="E301" s="16"/>
      <c r="F301" s="16"/>
      <c r="G301" s="16"/>
      <c r="H301" s="16"/>
      <c r="I301" s="16"/>
      <c r="J301" s="16"/>
      <c r="K301" s="16"/>
      <c r="L301" s="16"/>
      <c r="M301" s="16"/>
      <c r="N301" s="16"/>
      <c r="O301" s="16"/>
      <c r="P301" s="16"/>
      <c r="Q301" s="16"/>
      <c r="R301" s="16"/>
      <c r="S301" s="16"/>
      <c r="T301" s="16"/>
      <c r="U301" s="17"/>
    </row>
    <row r="302" spans="2:21" x14ac:dyDescent="0.35">
      <c r="B302" s="24"/>
      <c r="C302" s="7"/>
      <c r="D302" s="16"/>
      <c r="E302" s="16"/>
      <c r="F302" s="16"/>
      <c r="G302" s="16"/>
      <c r="H302" s="16"/>
      <c r="I302" s="16"/>
      <c r="J302" s="16"/>
      <c r="K302" s="16"/>
      <c r="L302" s="16"/>
      <c r="M302" s="16"/>
      <c r="N302" s="16"/>
      <c r="O302" s="16"/>
      <c r="P302" s="16"/>
      <c r="Q302" s="16"/>
      <c r="R302" s="16"/>
      <c r="S302" s="16"/>
      <c r="T302" s="16"/>
      <c r="U302" s="17"/>
    </row>
    <row r="303" spans="2:21" x14ac:dyDescent="0.35">
      <c r="B303" s="24"/>
      <c r="C303" s="7"/>
      <c r="D303" s="16"/>
      <c r="E303" s="16"/>
      <c r="F303" s="16"/>
      <c r="G303" s="16"/>
      <c r="H303" s="16"/>
      <c r="I303" s="16"/>
      <c r="J303" s="16"/>
      <c r="K303" s="16"/>
      <c r="L303" s="16"/>
      <c r="M303" s="16"/>
      <c r="N303" s="16"/>
      <c r="O303" s="16"/>
      <c r="P303" s="16"/>
      <c r="Q303" s="16"/>
      <c r="R303" s="16"/>
      <c r="S303" s="16"/>
      <c r="T303" s="16"/>
      <c r="U303" s="17"/>
    </row>
    <row r="304" spans="2:21" x14ac:dyDescent="0.35">
      <c r="B304" s="24"/>
      <c r="C304" s="7"/>
      <c r="D304" s="16"/>
      <c r="E304" s="16"/>
      <c r="F304" s="16"/>
      <c r="G304" s="16"/>
      <c r="H304" s="16"/>
      <c r="I304" s="16"/>
      <c r="J304" s="16"/>
      <c r="K304" s="16"/>
      <c r="L304" s="16"/>
      <c r="M304" s="16"/>
      <c r="N304" s="16"/>
      <c r="O304" s="16"/>
      <c r="P304" s="16"/>
      <c r="Q304" s="16"/>
      <c r="R304" s="16"/>
      <c r="S304" s="16"/>
      <c r="T304" s="16"/>
      <c r="U304" s="17"/>
    </row>
    <row r="305" spans="2:21" x14ac:dyDescent="0.35">
      <c r="B305" s="24"/>
      <c r="C305" s="7"/>
      <c r="D305" s="16"/>
      <c r="E305" s="16"/>
      <c r="F305" s="16"/>
      <c r="G305" s="16"/>
      <c r="H305" s="16"/>
      <c r="I305" s="16"/>
      <c r="J305" s="16"/>
      <c r="K305" s="16"/>
      <c r="L305" s="16"/>
      <c r="M305" s="16"/>
      <c r="N305" s="16"/>
      <c r="O305" s="16"/>
      <c r="P305" s="16"/>
      <c r="Q305" s="16"/>
      <c r="R305" s="16"/>
      <c r="S305" s="16"/>
      <c r="T305" s="16"/>
      <c r="U305" s="17"/>
    </row>
    <row r="306" spans="2:21" x14ac:dyDescent="0.35">
      <c r="B306" s="24"/>
      <c r="C306" s="7"/>
      <c r="D306" s="16"/>
      <c r="E306" s="16"/>
      <c r="F306" s="16"/>
      <c r="G306" s="16"/>
      <c r="H306" s="16"/>
      <c r="I306" s="16"/>
      <c r="J306" s="16"/>
      <c r="K306" s="16"/>
      <c r="L306" s="16"/>
      <c r="M306" s="16"/>
      <c r="N306" s="16"/>
      <c r="O306" s="16"/>
      <c r="P306" s="16"/>
      <c r="Q306" s="16"/>
      <c r="R306" s="16"/>
      <c r="S306" s="16"/>
      <c r="T306" s="16"/>
      <c r="U306" s="17"/>
    </row>
    <row r="307" spans="2:21" x14ac:dyDescent="0.35">
      <c r="B307" s="24"/>
      <c r="C307" s="7"/>
      <c r="D307" s="16"/>
      <c r="E307" s="16"/>
      <c r="F307" s="16"/>
      <c r="G307" s="16"/>
      <c r="H307" s="16"/>
      <c r="I307" s="16"/>
      <c r="J307" s="16"/>
      <c r="K307" s="16"/>
      <c r="L307" s="16"/>
      <c r="M307" s="16"/>
      <c r="N307" s="16"/>
      <c r="O307" s="16"/>
      <c r="P307" s="16"/>
      <c r="Q307" s="16"/>
      <c r="R307" s="16"/>
      <c r="S307" s="16"/>
      <c r="T307" s="16"/>
      <c r="U307" s="17"/>
    </row>
    <row r="308" spans="2:21" x14ac:dyDescent="0.35">
      <c r="B308" s="24"/>
      <c r="C308" s="7"/>
      <c r="D308" s="16"/>
      <c r="E308" s="16"/>
      <c r="F308" s="16"/>
      <c r="G308" s="16"/>
      <c r="H308" s="16"/>
      <c r="I308" s="16"/>
      <c r="J308" s="16"/>
      <c r="K308" s="16"/>
      <c r="L308" s="16"/>
      <c r="M308" s="16"/>
      <c r="N308" s="16"/>
      <c r="O308" s="16"/>
      <c r="P308" s="16"/>
      <c r="Q308" s="16"/>
      <c r="R308" s="16"/>
      <c r="S308" s="16"/>
      <c r="T308" s="16"/>
      <c r="U308" s="17"/>
    </row>
    <row r="309" spans="2:21" x14ac:dyDescent="0.35">
      <c r="B309" s="24"/>
      <c r="C309" s="7"/>
      <c r="D309" s="16"/>
      <c r="E309" s="16"/>
      <c r="F309" s="16"/>
      <c r="G309" s="16"/>
      <c r="H309" s="16"/>
      <c r="I309" s="16"/>
      <c r="J309" s="16"/>
      <c r="K309" s="16"/>
      <c r="L309" s="16"/>
      <c r="M309" s="16"/>
      <c r="N309" s="16"/>
      <c r="O309" s="16"/>
      <c r="P309" s="16"/>
      <c r="Q309" s="16"/>
      <c r="R309" s="16"/>
      <c r="S309" s="16"/>
      <c r="T309" s="16"/>
      <c r="U309" s="17"/>
    </row>
    <row r="310" spans="2:21" x14ac:dyDescent="0.35">
      <c r="B310" s="24"/>
      <c r="C310" s="7"/>
      <c r="D310" s="16"/>
      <c r="E310" s="16"/>
      <c r="F310" s="16"/>
      <c r="G310" s="16"/>
      <c r="H310" s="16"/>
      <c r="I310" s="16"/>
      <c r="J310" s="16"/>
      <c r="K310" s="16"/>
      <c r="L310" s="16"/>
      <c r="M310" s="16"/>
      <c r="N310" s="16"/>
      <c r="O310" s="16"/>
      <c r="P310" s="16"/>
      <c r="Q310" s="16"/>
      <c r="R310" s="16"/>
      <c r="S310" s="16"/>
      <c r="T310" s="16"/>
      <c r="U310" s="17"/>
    </row>
    <row r="311" spans="2:21" x14ac:dyDescent="0.35">
      <c r="B311" s="24"/>
      <c r="C311" s="7"/>
      <c r="D311" s="16"/>
      <c r="E311" s="16"/>
      <c r="F311" s="16"/>
      <c r="G311" s="16"/>
      <c r="H311" s="16"/>
      <c r="I311" s="16"/>
      <c r="J311" s="16"/>
      <c r="K311" s="16"/>
      <c r="L311" s="16"/>
      <c r="M311" s="16"/>
      <c r="N311" s="16"/>
      <c r="O311" s="16"/>
      <c r="P311" s="16"/>
      <c r="Q311" s="16"/>
      <c r="R311" s="16"/>
      <c r="S311" s="16"/>
      <c r="T311" s="16"/>
      <c r="U311" s="17"/>
    </row>
    <row r="312" spans="2:21" x14ac:dyDescent="0.35">
      <c r="B312" s="24"/>
      <c r="C312" s="7"/>
      <c r="D312" s="16"/>
      <c r="E312" s="16"/>
      <c r="F312" s="16"/>
      <c r="G312" s="16"/>
      <c r="H312" s="16"/>
      <c r="I312" s="16"/>
      <c r="J312" s="16"/>
      <c r="K312" s="16"/>
      <c r="L312" s="16"/>
      <c r="M312" s="16"/>
      <c r="N312" s="16"/>
      <c r="O312" s="16"/>
      <c r="P312" s="16"/>
      <c r="Q312" s="16"/>
      <c r="R312" s="16"/>
      <c r="S312" s="16"/>
      <c r="T312" s="16"/>
      <c r="U312" s="17"/>
    </row>
    <row r="313" spans="2:21" x14ac:dyDescent="0.35">
      <c r="B313" s="24"/>
      <c r="C313" s="7"/>
      <c r="D313" s="16"/>
      <c r="E313" s="16"/>
      <c r="F313" s="16"/>
      <c r="G313" s="16"/>
      <c r="H313" s="16"/>
      <c r="I313" s="16"/>
      <c r="J313" s="16"/>
      <c r="K313" s="16"/>
      <c r="L313" s="16"/>
      <c r="M313" s="16"/>
      <c r="N313" s="16"/>
      <c r="O313" s="16"/>
      <c r="P313" s="16"/>
      <c r="Q313" s="16"/>
      <c r="R313" s="16"/>
      <c r="S313" s="16"/>
      <c r="T313" s="16"/>
      <c r="U313" s="17"/>
    </row>
    <row r="314" spans="2:21" x14ac:dyDescent="0.35">
      <c r="B314" s="24"/>
      <c r="C314" s="7"/>
      <c r="D314" s="16"/>
      <c r="E314" s="16"/>
      <c r="F314" s="16"/>
      <c r="G314" s="16"/>
      <c r="H314" s="16"/>
      <c r="I314" s="16"/>
      <c r="J314" s="16"/>
      <c r="K314" s="16"/>
      <c r="L314" s="16"/>
      <c r="M314" s="16"/>
      <c r="N314" s="16"/>
      <c r="O314" s="16"/>
      <c r="P314" s="16"/>
      <c r="Q314" s="16"/>
      <c r="R314" s="16"/>
      <c r="S314" s="16"/>
      <c r="T314" s="16"/>
      <c r="U314" s="17"/>
    </row>
    <row r="315" spans="2:21" x14ac:dyDescent="0.35">
      <c r="B315" s="24"/>
      <c r="C315" s="7"/>
      <c r="D315" s="16"/>
      <c r="E315" s="16"/>
      <c r="F315" s="16"/>
      <c r="G315" s="16"/>
      <c r="H315" s="16"/>
      <c r="I315" s="16"/>
      <c r="J315" s="16"/>
      <c r="K315" s="16"/>
      <c r="L315" s="16"/>
      <c r="M315" s="16"/>
      <c r="N315" s="16"/>
      <c r="O315" s="16"/>
      <c r="P315" s="16"/>
      <c r="Q315" s="16"/>
      <c r="R315" s="16"/>
      <c r="S315" s="16"/>
      <c r="T315" s="16"/>
      <c r="U315" s="17"/>
    </row>
    <row r="316" spans="2:21" x14ac:dyDescent="0.35">
      <c r="B316" s="24"/>
      <c r="C316" s="7"/>
      <c r="D316" s="16"/>
      <c r="E316" s="16"/>
      <c r="F316" s="16"/>
      <c r="G316" s="16"/>
      <c r="H316" s="16"/>
      <c r="I316" s="16"/>
      <c r="J316" s="16"/>
      <c r="K316" s="16"/>
      <c r="L316" s="16"/>
      <c r="M316" s="16"/>
      <c r="N316" s="16"/>
      <c r="O316" s="16"/>
      <c r="P316" s="16"/>
      <c r="Q316" s="16"/>
      <c r="R316" s="16"/>
      <c r="S316" s="16"/>
      <c r="T316" s="16"/>
      <c r="U316" s="17"/>
    </row>
    <row r="317" spans="2:21" x14ac:dyDescent="0.35">
      <c r="B317" s="24"/>
      <c r="C317" s="7"/>
      <c r="D317" s="16"/>
      <c r="E317" s="16"/>
      <c r="F317" s="16"/>
      <c r="G317" s="16"/>
      <c r="H317" s="16"/>
      <c r="I317" s="16"/>
      <c r="J317" s="16"/>
      <c r="K317" s="16"/>
      <c r="L317" s="16"/>
      <c r="M317" s="16"/>
      <c r="N317" s="16"/>
      <c r="O317" s="16"/>
      <c r="P317" s="16"/>
      <c r="Q317" s="16"/>
      <c r="R317" s="16"/>
      <c r="S317" s="16"/>
      <c r="T317" s="16"/>
      <c r="U317" s="17"/>
    </row>
    <row r="318" spans="2:21" x14ac:dyDescent="0.35">
      <c r="B318" s="24"/>
      <c r="C318" s="7"/>
      <c r="D318" s="16"/>
      <c r="E318" s="16"/>
      <c r="F318" s="16"/>
      <c r="G318" s="16"/>
      <c r="H318" s="16"/>
      <c r="I318" s="16"/>
      <c r="J318" s="16"/>
      <c r="K318" s="16"/>
      <c r="L318" s="16"/>
      <c r="M318" s="16"/>
      <c r="N318" s="16"/>
      <c r="O318" s="16"/>
      <c r="P318" s="16"/>
      <c r="Q318" s="16"/>
      <c r="R318" s="16"/>
      <c r="S318" s="16"/>
      <c r="T318" s="16"/>
      <c r="U318" s="17"/>
    </row>
    <row r="319" spans="2:21" x14ac:dyDescent="0.35">
      <c r="B319" s="24"/>
      <c r="C319" s="7"/>
      <c r="D319" s="16"/>
      <c r="E319" s="16"/>
      <c r="F319" s="16"/>
      <c r="G319" s="16"/>
      <c r="H319" s="16"/>
      <c r="I319" s="16"/>
      <c r="J319" s="16"/>
      <c r="K319" s="16"/>
      <c r="L319" s="16"/>
      <c r="M319" s="16"/>
      <c r="N319" s="16"/>
      <c r="O319" s="16"/>
      <c r="P319" s="16"/>
      <c r="Q319" s="16"/>
      <c r="R319" s="16"/>
      <c r="S319" s="16"/>
      <c r="T319" s="16"/>
      <c r="U319" s="17"/>
    </row>
    <row r="320" spans="2:21" x14ac:dyDescent="0.35">
      <c r="B320" s="24"/>
      <c r="C320" s="7"/>
      <c r="D320" s="16"/>
      <c r="E320" s="16"/>
      <c r="F320" s="16"/>
      <c r="G320" s="16"/>
      <c r="H320" s="16"/>
      <c r="I320" s="16"/>
      <c r="J320" s="16"/>
      <c r="K320" s="16"/>
      <c r="L320" s="16"/>
      <c r="M320" s="16"/>
      <c r="N320" s="16"/>
      <c r="O320" s="16"/>
      <c r="P320" s="16"/>
      <c r="Q320" s="16"/>
      <c r="R320" s="16"/>
      <c r="S320" s="16"/>
      <c r="T320" s="16"/>
      <c r="U320" s="17"/>
    </row>
    <row r="321" spans="2:21" x14ac:dyDescent="0.35">
      <c r="B321" s="24"/>
      <c r="C321" s="7"/>
      <c r="D321" s="16"/>
      <c r="E321" s="16"/>
      <c r="F321" s="16"/>
      <c r="G321" s="16"/>
      <c r="H321" s="16"/>
      <c r="I321" s="16"/>
      <c r="J321" s="16"/>
      <c r="K321" s="16"/>
      <c r="L321" s="16"/>
      <c r="M321" s="16"/>
      <c r="N321" s="16"/>
      <c r="O321" s="16"/>
      <c r="P321" s="16"/>
      <c r="Q321" s="16"/>
      <c r="R321" s="16"/>
      <c r="S321" s="16"/>
      <c r="T321" s="16"/>
      <c r="U321" s="17"/>
    </row>
    <row r="322" spans="2:21" x14ac:dyDescent="0.35">
      <c r="B322" s="24"/>
      <c r="C322" s="7"/>
      <c r="D322" s="16"/>
      <c r="E322" s="16"/>
      <c r="F322" s="16"/>
      <c r="G322" s="16"/>
      <c r="H322" s="16"/>
      <c r="I322" s="16"/>
      <c r="J322" s="16"/>
      <c r="K322" s="16"/>
      <c r="L322" s="16"/>
      <c r="M322" s="16"/>
      <c r="N322" s="16"/>
      <c r="O322" s="16"/>
      <c r="P322" s="16"/>
      <c r="Q322" s="16"/>
      <c r="R322" s="16"/>
      <c r="S322" s="16"/>
      <c r="T322" s="16"/>
      <c r="U322" s="17"/>
    </row>
    <row r="323" spans="2:21" x14ac:dyDescent="0.35">
      <c r="B323" s="24"/>
      <c r="C323" s="7"/>
      <c r="D323" s="16"/>
      <c r="E323" s="16"/>
      <c r="F323" s="16"/>
      <c r="G323" s="16"/>
      <c r="H323" s="16"/>
      <c r="I323" s="16"/>
      <c r="J323" s="16"/>
      <c r="K323" s="16"/>
      <c r="L323" s="16"/>
      <c r="M323" s="16"/>
      <c r="N323" s="16"/>
      <c r="O323" s="16"/>
      <c r="P323" s="16"/>
      <c r="Q323" s="16"/>
      <c r="R323" s="16"/>
      <c r="S323" s="16"/>
      <c r="T323" s="16"/>
      <c r="U323" s="17"/>
    </row>
    <row r="324" spans="2:21" x14ac:dyDescent="0.35">
      <c r="B324" s="24"/>
      <c r="C324" s="7"/>
      <c r="D324" s="16"/>
      <c r="E324" s="16"/>
      <c r="F324" s="16"/>
      <c r="G324" s="16"/>
      <c r="H324" s="16"/>
      <c r="I324" s="16"/>
      <c r="J324" s="16"/>
      <c r="K324" s="16"/>
      <c r="L324" s="16"/>
      <c r="M324" s="16"/>
      <c r="N324" s="16"/>
      <c r="O324" s="16"/>
      <c r="P324" s="16"/>
      <c r="Q324" s="16"/>
      <c r="R324" s="16"/>
      <c r="S324" s="16"/>
      <c r="T324" s="16"/>
      <c r="U324" s="17"/>
    </row>
    <row r="325" spans="2:21" x14ac:dyDescent="0.35">
      <c r="B325" s="24"/>
      <c r="C325" s="7"/>
      <c r="D325" s="16"/>
      <c r="E325" s="16"/>
      <c r="F325" s="16"/>
      <c r="G325" s="16"/>
      <c r="H325" s="16"/>
      <c r="I325" s="16"/>
      <c r="J325" s="16"/>
      <c r="K325" s="16"/>
      <c r="L325" s="16"/>
      <c r="M325" s="16"/>
      <c r="N325" s="16"/>
      <c r="O325" s="16"/>
      <c r="P325" s="16"/>
      <c r="Q325" s="16"/>
      <c r="R325" s="16"/>
      <c r="S325" s="16"/>
      <c r="T325" s="16"/>
      <c r="U325" s="17"/>
    </row>
    <row r="326" spans="2:21" x14ac:dyDescent="0.35">
      <c r="B326" s="24"/>
      <c r="C326" s="7"/>
      <c r="D326" s="16"/>
      <c r="E326" s="16"/>
      <c r="F326" s="16"/>
      <c r="G326" s="16"/>
      <c r="H326" s="16"/>
      <c r="I326" s="16"/>
      <c r="J326" s="16"/>
      <c r="K326" s="16"/>
      <c r="L326" s="16"/>
      <c r="M326" s="16"/>
      <c r="N326" s="16"/>
      <c r="O326" s="16"/>
      <c r="P326" s="16"/>
      <c r="Q326" s="16"/>
      <c r="R326" s="16"/>
      <c r="S326" s="16"/>
      <c r="T326" s="16"/>
      <c r="U326" s="17"/>
    </row>
    <row r="327" spans="2:21" x14ac:dyDescent="0.35">
      <c r="B327" s="24"/>
      <c r="C327" s="7"/>
      <c r="D327" s="16"/>
      <c r="E327" s="16"/>
      <c r="F327" s="16"/>
      <c r="G327" s="16"/>
      <c r="H327" s="16"/>
      <c r="I327" s="16"/>
      <c r="J327" s="16"/>
      <c r="K327" s="16"/>
      <c r="L327" s="16"/>
      <c r="M327" s="16"/>
      <c r="N327" s="16"/>
      <c r="O327" s="16"/>
      <c r="P327" s="16"/>
      <c r="Q327" s="16"/>
      <c r="R327" s="16"/>
      <c r="S327" s="16"/>
      <c r="T327" s="16"/>
      <c r="U327" s="17"/>
    </row>
    <row r="328" spans="2:21" x14ac:dyDescent="0.35">
      <c r="B328" s="24"/>
      <c r="C328" s="7"/>
      <c r="D328" s="16"/>
      <c r="E328" s="16"/>
      <c r="F328" s="16"/>
      <c r="G328" s="16"/>
      <c r="H328" s="16"/>
      <c r="I328" s="16"/>
      <c r="J328" s="16"/>
      <c r="K328" s="16"/>
      <c r="L328" s="16"/>
      <c r="M328" s="16"/>
      <c r="N328" s="16"/>
      <c r="O328" s="16"/>
      <c r="P328" s="16"/>
      <c r="Q328" s="16"/>
      <c r="R328" s="16"/>
      <c r="S328" s="16"/>
      <c r="T328" s="16"/>
      <c r="U328" s="17"/>
    </row>
    <row r="329" spans="2:21" x14ac:dyDescent="0.35">
      <c r="B329" s="24"/>
      <c r="C329" s="7"/>
      <c r="D329" s="16"/>
      <c r="E329" s="16"/>
      <c r="F329" s="16"/>
      <c r="G329" s="16"/>
      <c r="H329" s="16"/>
      <c r="I329" s="16"/>
      <c r="J329" s="16"/>
      <c r="K329" s="16"/>
      <c r="L329" s="16"/>
      <c r="M329" s="16"/>
      <c r="N329" s="16"/>
      <c r="O329" s="16"/>
      <c r="P329" s="16"/>
      <c r="Q329" s="16"/>
      <c r="R329" s="16"/>
      <c r="S329" s="16"/>
      <c r="T329" s="16"/>
      <c r="U329" s="17"/>
    </row>
    <row r="330" spans="2:21" x14ac:dyDescent="0.35">
      <c r="B330" s="24"/>
      <c r="C330" s="7"/>
      <c r="D330" s="16"/>
      <c r="E330" s="16"/>
      <c r="F330" s="16"/>
      <c r="G330" s="16"/>
      <c r="H330" s="16"/>
      <c r="I330" s="16"/>
      <c r="J330" s="16"/>
      <c r="K330" s="16"/>
      <c r="L330" s="16"/>
      <c r="M330" s="16"/>
      <c r="N330" s="16"/>
      <c r="O330" s="16"/>
      <c r="P330" s="16"/>
      <c r="Q330" s="16"/>
      <c r="R330" s="16"/>
      <c r="S330" s="16"/>
      <c r="T330" s="16"/>
      <c r="U330" s="17"/>
    </row>
    <row r="331" spans="2:21" x14ac:dyDescent="0.35">
      <c r="B331" s="24"/>
      <c r="C331" s="7"/>
      <c r="D331" s="16"/>
      <c r="E331" s="16"/>
      <c r="F331" s="16"/>
      <c r="G331" s="16"/>
      <c r="H331" s="16"/>
      <c r="I331" s="16"/>
      <c r="J331" s="16"/>
      <c r="K331" s="16"/>
      <c r="L331" s="16"/>
      <c r="M331" s="16"/>
      <c r="N331" s="16"/>
      <c r="O331" s="16"/>
      <c r="P331" s="16"/>
      <c r="Q331" s="16"/>
      <c r="R331" s="16"/>
      <c r="S331" s="16"/>
      <c r="T331" s="16"/>
      <c r="U331" s="17"/>
    </row>
    <row r="332" spans="2:21" x14ac:dyDescent="0.35">
      <c r="B332" s="24"/>
      <c r="C332" s="7"/>
      <c r="D332" s="16"/>
      <c r="E332" s="16"/>
      <c r="F332" s="16"/>
      <c r="G332" s="16"/>
      <c r="H332" s="16"/>
      <c r="I332" s="16"/>
      <c r="J332" s="16"/>
      <c r="K332" s="16"/>
      <c r="L332" s="16"/>
      <c r="M332" s="16"/>
      <c r="N332" s="16"/>
      <c r="O332" s="16"/>
      <c r="P332" s="16"/>
      <c r="Q332" s="16"/>
      <c r="R332" s="16"/>
      <c r="S332" s="16"/>
      <c r="T332" s="16"/>
      <c r="U332" s="17"/>
    </row>
    <row r="333" spans="2:21" x14ac:dyDescent="0.35">
      <c r="B333" s="24"/>
      <c r="C333" s="7"/>
      <c r="D333" s="16"/>
      <c r="E333" s="16"/>
      <c r="F333" s="16"/>
      <c r="G333" s="16"/>
      <c r="H333" s="16"/>
      <c r="I333" s="16"/>
      <c r="J333" s="16"/>
      <c r="K333" s="16"/>
      <c r="L333" s="16"/>
      <c r="M333" s="16"/>
      <c r="N333" s="16"/>
      <c r="O333" s="16"/>
      <c r="P333" s="16"/>
      <c r="Q333" s="16"/>
      <c r="R333" s="16"/>
      <c r="S333" s="16"/>
      <c r="T333" s="16"/>
      <c r="U333" s="17"/>
    </row>
    <row r="334" spans="2:21" x14ac:dyDescent="0.35">
      <c r="B334" s="24"/>
      <c r="C334" s="7"/>
      <c r="D334" s="16"/>
      <c r="E334" s="16"/>
      <c r="F334" s="16"/>
      <c r="G334" s="16"/>
      <c r="H334" s="16"/>
      <c r="I334" s="16"/>
      <c r="J334" s="16"/>
      <c r="K334" s="16"/>
      <c r="L334" s="16"/>
      <c r="M334" s="16"/>
      <c r="N334" s="16"/>
      <c r="O334" s="16"/>
      <c r="P334" s="16"/>
      <c r="Q334" s="16"/>
      <c r="R334" s="16"/>
      <c r="S334" s="16"/>
      <c r="T334" s="16"/>
      <c r="U334" s="17"/>
    </row>
    <row r="335" spans="2:21" x14ac:dyDescent="0.35">
      <c r="B335" s="24"/>
      <c r="C335" s="7"/>
      <c r="D335" s="16"/>
      <c r="E335" s="16"/>
      <c r="F335" s="16"/>
      <c r="G335" s="16"/>
      <c r="H335" s="16"/>
      <c r="I335" s="16"/>
      <c r="J335" s="16"/>
      <c r="K335" s="16"/>
      <c r="L335" s="16"/>
      <c r="M335" s="16"/>
      <c r="N335" s="16"/>
      <c r="O335" s="16"/>
      <c r="P335" s="16"/>
      <c r="Q335" s="16"/>
      <c r="R335" s="16"/>
      <c r="S335" s="16"/>
      <c r="T335" s="16"/>
      <c r="U335" s="17"/>
    </row>
    <row r="336" spans="2:21" x14ac:dyDescent="0.35">
      <c r="B336" s="24"/>
      <c r="C336" s="7"/>
      <c r="D336" s="16"/>
      <c r="E336" s="16"/>
      <c r="F336" s="16"/>
      <c r="G336" s="16"/>
      <c r="H336" s="16"/>
      <c r="I336" s="16"/>
      <c r="J336" s="16"/>
      <c r="K336" s="16"/>
      <c r="L336" s="16"/>
      <c r="M336" s="16"/>
      <c r="N336" s="16"/>
      <c r="O336" s="16"/>
      <c r="P336" s="16"/>
      <c r="Q336" s="16"/>
      <c r="R336" s="16"/>
      <c r="S336" s="16"/>
      <c r="T336" s="16"/>
      <c r="U336" s="17"/>
    </row>
    <row r="337" spans="2:21" x14ac:dyDescent="0.35">
      <c r="B337" s="24"/>
      <c r="C337" s="7"/>
      <c r="D337" s="16"/>
      <c r="E337" s="16"/>
      <c r="F337" s="16"/>
      <c r="G337" s="16"/>
      <c r="H337" s="16"/>
      <c r="I337" s="16"/>
      <c r="J337" s="16"/>
      <c r="K337" s="16"/>
      <c r="L337" s="16"/>
      <c r="M337" s="16"/>
      <c r="N337" s="16"/>
      <c r="O337" s="16"/>
      <c r="P337" s="16"/>
      <c r="Q337" s="16"/>
      <c r="R337" s="16"/>
      <c r="S337" s="16"/>
      <c r="T337" s="16"/>
      <c r="U337" s="17"/>
    </row>
    <row r="338" spans="2:21" x14ac:dyDescent="0.35">
      <c r="B338" s="24"/>
      <c r="C338" s="7"/>
      <c r="D338" s="16"/>
      <c r="E338" s="16"/>
      <c r="F338" s="16"/>
      <c r="G338" s="16"/>
      <c r="H338" s="16"/>
      <c r="I338" s="16"/>
      <c r="J338" s="16"/>
      <c r="K338" s="16"/>
      <c r="L338" s="16"/>
      <c r="M338" s="16"/>
      <c r="N338" s="16"/>
      <c r="O338" s="16"/>
      <c r="P338" s="16"/>
      <c r="Q338" s="16"/>
      <c r="R338" s="16"/>
      <c r="S338" s="16"/>
      <c r="T338" s="16"/>
      <c r="U338" s="17"/>
    </row>
    <row r="339" spans="2:21" x14ac:dyDescent="0.35">
      <c r="B339" s="24"/>
      <c r="C339" s="7"/>
      <c r="D339" s="16"/>
      <c r="E339" s="16"/>
      <c r="F339" s="16"/>
      <c r="G339" s="16"/>
      <c r="H339" s="16"/>
      <c r="I339" s="16"/>
      <c r="J339" s="16"/>
      <c r="K339" s="16"/>
      <c r="L339" s="16"/>
      <c r="M339" s="16"/>
      <c r="N339" s="16"/>
      <c r="O339" s="16"/>
      <c r="P339" s="16"/>
      <c r="Q339" s="16"/>
      <c r="R339" s="16"/>
      <c r="S339" s="16"/>
      <c r="T339" s="16"/>
      <c r="U339" s="17"/>
    </row>
    <row r="340" spans="2:21" x14ac:dyDescent="0.35">
      <c r="B340" s="24"/>
      <c r="C340" s="7"/>
      <c r="D340" s="16"/>
      <c r="E340" s="16"/>
      <c r="F340" s="16"/>
      <c r="G340" s="16"/>
      <c r="H340" s="16"/>
      <c r="I340" s="16"/>
      <c r="J340" s="16"/>
      <c r="K340" s="16"/>
      <c r="L340" s="16"/>
      <c r="M340" s="16"/>
      <c r="N340" s="16"/>
      <c r="O340" s="16"/>
      <c r="P340" s="16"/>
      <c r="Q340" s="16"/>
      <c r="R340" s="16"/>
      <c r="S340" s="16"/>
      <c r="T340" s="16"/>
      <c r="U340" s="17"/>
    </row>
    <row r="341" spans="2:21" x14ac:dyDescent="0.35">
      <c r="B341" s="24"/>
      <c r="C341" s="7"/>
      <c r="D341" s="16"/>
      <c r="E341" s="16"/>
      <c r="F341" s="16"/>
      <c r="G341" s="16"/>
      <c r="H341" s="16"/>
      <c r="I341" s="16"/>
      <c r="J341" s="16"/>
      <c r="K341" s="16"/>
      <c r="L341" s="16"/>
      <c r="M341" s="16"/>
      <c r="N341" s="16"/>
      <c r="O341" s="16"/>
      <c r="P341" s="16"/>
      <c r="Q341" s="16"/>
      <c r="R341" s="16"/>
      <c r="S341" s="16"/>
      <c r="T341" s="16"/>
      <c r="U341" s="17"/>
    </row>
    <row r="342" spans="2:21" x14ac:dyDescent="0.35">
      <c r="B342" s="24"/>
      <c r="C342" s="7"/>
      <c r="D342" s="16"/>
      <c r="E342" s="16"/>
      <c r="F342" s="16"/>
      <c r="G342" s="16"/>
      <c r="H342" s="16"/>
      <c r="I342" s="16"/>
      <c r="J342" s="16"/>
      <c r="K342" s="16"/>
      <c r="L342" s="16"/>
      <c r="M342" s="16"/>
      <c r="N342" s="16"/>
      <c r="O342" s="16"/>
      <c r="P342" s="16"/>
      <c r="Q342" s="16"/>
      <c r="R342" s="16"/>
      <c r="S342" s="16"/>
      <c r="T342" s="16"/>
      <c r="U342" s="17"/>
    </row>
    <row r="343" spans="2:21" x14ac:dyDescent="0.35">
      <c r="B343" s="24"/>
      <c r="C343" s="7"/>
      <c r="D343" s="16"/>
      <c r="E343" s="16"/>
      <c r="F343" s="16"/>
      <c r="G343" s="16"/>
      <c r="H343" s="16"/>
      <c r="I343" s="16"/>
      <c r="J343" s="16"/>
      <c r="K343" s="16"/>
      <c r="L343" s="16"/>
      <c r="M343" s="16"/>
      <c r="N343" s="16"/>
      <c r="O343" s="16"/>
      <c r="P343" s="16"/>
      <c r="Q343" s="16"/>
      <c r="R343" s="16"/>
      <c r="S343" s="16"/>
      <c r="T343" s="16"/>
      <c r="U343" s="17"/>
    </row>
    <row r="344" spans="2:21" x14ac:dyDescent="0.35">
      <c r="B344" s="24"/>
      <c r="C344" s="7"/>
      <c r="D344" s="16"/>
      <c r="E344" s="16"/>
      <c r="F344" s="16"/>
      <c r="G344" s="16"/>
      <c r="H344" s="16"/>
      <c r="I344" s="16"/>
      <c r="J344" s="16"/>
      <c r="K344" s="16"/>
      <c r="L344" s="16"/>
      <c r="M344" s="16"/>
      <c r="N344" s="16"/>
      <c r="O344" s="16"/>
      <c r="P344" s="16"/>
      <c r="Q344" s="16"/>
      <c r="R344" s="16"/>
      <c r="S344" s="16"/>
      <c r="T344" s="16"/>
      <c r="U344" s="17"/>
    </row>
    <row r="345" spans="2:21" x14ac:dyDescent="0.35">
      <c r="B345" s="24"/>
      <c r="C345" s="7"/>
      <c r="D345" s="16"/>
      <c r="E345" s="16"/>
      <c r="F345" s="16"/>
      <c r="G345" s="16"/>
      <c r="H345" s="16"/>
      <c r="I345" s="16"/>
      <c r="J345" s="16"/>
      <c r="K345" s="16"/>
      <c r="L345" s="16"/>
      <c r="M345" s="16"/>
      <c r="N345" s="16"/>
      <c r="O345" s="16"/>
      <c r="P345" s="16"/>
      <c r="Q345" s="16"/>
      <c r="R345" s="16"/>
      <c r="S345" s="16"/>
      <c r="T345" s="16"/>
      <c r="U345" s="17"/>
    </row>
    <row r="346" spans="2:21" x14ac:dyDescent="0.35">
      <c r="B346" s="24"/>
      <c r="C346" s="7"/>
      <c r="D346" s="16"/>
      <c r="E346" s="16"/>
      <c r="F346" s="16"/>
      <c r="G346" s="16"/>
      <c r="H346" s="16"/>
      <c r="I346" s="16"/>
      <c r="J346" s="16"/>
      <c r="K346" s="16"/>
      <c r="L346" s="16"/>
      <c r="M346" s="16"/>
      <c r="N346" s="16"/>
      <c r="O346" s="16"/>
      <c r="P346" s="16"/>
      <c r="Q346" s="16"/>
      <c r="R346" s="16"/>
      <c r="S346" s="16"/>
      <c r="T346" s="16"/>
      <c r="U346" s="17"/>
    </row>
    <row r="347" spans="2:21" x14ac:dyDescent="0.35">
      <c r="B347" s="24"/>
      <c r="C347" s="7"/>
      <c r="D347" s="16"/>
      <c r="E347" s="16"/>
      <c r="F347" s="16"/>
      <c r="G347" s="16"/>
      <c r="H347" s="16"/>
      <c r="I347" s="16"/>
      <c r="J347" s="16"/>
      <c r="K347" s="16"/>
      <c r="L347" s="16"/>
      <c r="M347" s="16"/>
      <c r="N347" s="16"/>
      <c r="O347" s="16"/>
      <c r="P347" s="16"/>
      <c r="Q347" s="16"/>
      <c r="R347" s="16"/>
      <c r="S347" s="16"/>
      <c r="T347" s="16"/>
      <c r="U347" s="17"/>
    </row>
    <row r="348" spans="2:21" x14ac:dyDescent="0.35">
      <c r="B348" s="24"/>
      <c r="C348" s="7"/>
      <c r="D348" s="16"/>
      <c r="E348" s="16"/>
      <c r="F348" s="16"/>
      <c r="G348" s="16"/>
      <c r="H348" s="16"/>
      <c r="I348" s="16"/>
      <c r="J348" s="16"/>
      <c r="K348" s="16"/>
      <c r="L348" s="16"/>
      <c r="M348" s="16"/>
      <c r="N348" s="16"/>
      <c r="O348" s="16"/>
      <c r="P348" s="16"/>
      <c r="Q348" s="16"/>
      <c r="R348" s="16"/>
      <c r="S348" s="16"/>
      <c r="T348" s="16"/>
      <c r="U348" s="17"/>
    </row>
    <row r="349" spans="2:21" x14ac:dyDescent="0.35">
      <c r="B349" s="24"/>
      <c r="C349" s="7"/>
      <c r="D349" s="16"/>
      <c r="E349" s="16"/>
      <c r="F349" s="16"/>
      <c r="G349" s="16"/>
      <c r="H349" s="16"/>
      <c r="I349" s="16"/>
      <c r="J349" s="16"/>
      <c r="K349" s="16"/>
      <c r="L349" s="16"/>
      <c r="M349" s="16"/>
      <c r="N349" s="16"/>
      <c r="O349" s="16"/>
      <c r="P349" s="16"/>
      <c r="Q349" s="16"/>
      <c r="R349" s="16"/>
      <c r="S349" s="16"/>
      <c r="T349" s="16"/>
      <c r="U349" s="17"/>
    </row>
    <row r="350" spans="2:21" x14ac:dyDescent="0.35">
      <c r="B350" s="24"/>
      <c r="C350" s="7"/>
      <c r="D350" s="16"/>
      <c r="E350" s="16"/>
      <c r="F350" s="16"/>
      <c r="G350" s="16"/>
      <c r="H350" s="16"/>
      <c r="I350" s="16"/>
      <c r="J350" s="16"/>
      <c r="K350" s="16"/>
      <c r="L350" s="16"/>
      <c r="M350" s="16"/>
      <c r="N350" s="16"/>
      <c r="O350" s="16"/>
      <c r="P350" s="16"/>
      <c r="Q350" s="16"/>
      <c r="R350" s="16"/>
      <c r="S350" s="16"/>
      <c r="T350" s="16"/>
      <c r="U350" s="17"/>
    </row>
    <row r="351" spans="2:21" x14ac:dyDescent="0.35">
      <c r="B351" s="24"/>
      <c r="C351" s="7"/>
      <c r="D351" s="16"/>
      <c r="E351" s="16"/>
      <c r="F351" s="16"/>
      <c r="G351" s="16"/>
      <c r="H351" s="16"/>
      <c r="I351" s="16"/>
      <c r="J351" s="16"/>
      <c r="K351" s="16"/>
      <c r="L351" s="16"/>
      <c r="M351" s="16"/>
      <c r="N351" s="16"/>
      <c r="O351" s="16"/>
      <c r="P351" s="16"/>
      <c r="Q351" s="16"/>
      <c r="R351" s="16"/>
      <c r="S351" s="16"/>
      <c r="T351" s="16"/>
      <c r="U351" s="17"/>
    </row>
    <row r="352" spans="2:21" x14ac:dyDescent="0.35">
      <c r="B352" s="24"/>
      <c r="C352" s="7"/>
      <c r="D352" s="16"/>
      <c r="E352" s="16"/>
      <c r="F352" s="16"/>
      <c r="G352" s="16"/>
      <c r="H352" s="16"/>
      <c r="I352" s="16"/>
      <c r="J352" s="16"/>
      <c r="K352" s="16"/>
      <c r="L352" s="16"/>
      <c r="M352" s="16"/>
      <c r="N352" s="16"/>
      <c r="O352" s="16"/>
      <c r="P352" s="16"/>
      <c r="Q352" s="16"/>
      <c r="R352" s="16"/>
      <c r="S352" s="16"/>
      <c r="T352" s="16"/>
      <c r="U352" s="17"/>
    </row>
    <row r="353" spans="2:21" x14ac:dyDescent="0.35">
      <c r="B353" s="24"/>
      <c r="C353" s="7"/>
      <c r="D353" s="16"/>
      <c r="E353" s="16"/>
      <c r="F353" s="16"/>
      <c r="G353" s="16"/>
      <c r="H353" s="16"/>
      <c r="I353" s="16"/>
      <c r="J353" s="16"/>
      <c r="K353" s="16"/>
      <c r="L353" s="16"/>
      <c r="M353" s="16"/>
      <c r="N353" s="16"/>
      <c r="O353" s="16"/>
      <c r="P353" s="16"/>
      <c r="Q353" s="16"/>
      <c r="R353" s="16"/>
      <c r="S353" s="16"/>
      <c r="T353" s="16"/>
      <c r="U353" s="17"/>
    </row>
    <row r="354" spans="2:21" x14ac:dyDescent="0.35">
      <c r="B354" s="24"/>
      <c r="C354" s="7"/>
      <c r="D354" s="16"/>
      <c r="E354" s="16"/>
      <c r="F354" s="16"/>
      <c r="G354" s="16"/>
      <c r="H354" s="16"/>
      <c r="I354" s="16"/>
      <c r="J354" s="16"/>
      <c r="K354" s="16"/>
      <c r="L354" s="16"/>
      <c r="M354" s="16"/>
      <c r="N354" s="16"/>
      <c r="O354" s="16"/>
      <c r="P354" s="16"/>
      <c r="Q354" s="16"/>
      <c r="R354" s="16"/>
      <c r="S354" s="16"/>
      <c r="T354" s="16"/>
      <c r="U354" s="17"/>
    </row>
    <row r="355" spans="2:21" x14ac:dyDescent="0.35">
      <c r="B355" s="24"/>
      <c r="C355" s="7"/>
      <c r="D355" s="16"/>
      <c r="E355" s="16"/>
      <c r="F355" s="16"/>
      <c r="G355" s="16"/>
      <c r="H355" s="16"/>
      <c r="I355" s="16"/>
      <c r="J355" s="16"/>
      <c r="K355" s="16"/>
      <c r="L355" s="16"/>
      <c r="M355" s="16"/>
      <c r="N355" s="16"/>
      <c r="O355" s="16"/>
      <c r="P355" s="16"/>
      <c r="Q355" s="16"/>
      <c r="R355" s="16"/>
      <c r="S355" s="16"/>
      <c r="T355" s="16"/>
      <c r="U355" s="17"/>
    </row>
    <row r="356" spans="2:21" x14ac:dyDescent="0.35">
      <c r="B356" s="24"/>
      <c r="C356" s="7"/>
      <c r="D356" s="16"/>
      <c r="E356" s="16"/>
      <c r="F356" s="16"/>
      <c r="G356" s="16"/>
      <c r="H356" s="16"/>
      <c r="I356" s="16"/>
      <c r="J356" s="16"/>
      <c r="K356" s="16"/>
      <c r="L356" s="16"/>
      <c r="M356" s="16"/>
      <c r="N356" s="16"/>
      <c r="O356" s="16"/>
      <c r="P356" s="16"/>
      <c r="Q356" s="16"/>
      <c r="R356" s="16"/>
      <c r="S356" s="16"/>
      <c r="T356" s="16"/>
      <c r="U356" s="17"/>
    </row>
    <row r="357" spans="2:21" x14ac:dyDescent="0.35">
      <c r="B357" s="24"/>
      <c r="C357" s="7"/>
      <c r="D357" s="16"/>
      <c r="E357" s="16"/>
      <c r="F357" s="16"/>
      <c r="G357" s="16"/>
      <c r="H357" s="16"/>
      <c r="I357" s="16"/>
      <c r="J357" s="16"/>
      <c r="K357" s="16"/>
      <c r="L357" s="16"/>
      <c r="M357" s="16"/>
      <c r="N357" s="16"/>
      <c r="O357" s="16"/>
      <c r="P357" s="16"/>
      <c r="Q357" s="16"/>
      <c r="R357" s="16"/>
      <c r="S357" s="16"/>
      <c r="T357" s="16"/>
      <c r="U357" s="17"/>
    </row>
    <row r="358" spans="2:21" x14ac:dyDescent="0.35">
      <c r="B358" s="24"/>
      <c r="C358" s="7"/>
      <c r="D358" s="16"/>
      <c r="E358" s="16"/>
      <c r="F358" s="16"/>
      <c r="G358" s="16"/>
      <c r="H358" s="16"/>
      <c r="I358" s="16"/>
      <c r="J358" s="16"/>
      <c r="K358" s="16"/>
      <c r="L358" s="16"/>
      <c r="M358" s="16"/>
      <c r="N358" s="16"/>
      <c r="O358" s="16"/>
      <c r="P358" s="16"/>
      <c r="Q358" s="16"/>
      <c r="R358" s="16"/>
      <c r="S358" s="16"/>
      <c r="T358" s="16"/>
      <c r="U358" s="17"/>
    </row>
    <row r="359" spans="2:21" x14ac:dyDescent="0.35">
      <c r="B359" s="24"/>
      <c r="C359" s="7"/>
      <c r="D359" s="16"/>
      <c r="E359" s="16"/>
      <c r="F359" s="16"/>
      <c r="G359" s="16"/>
      <c r="H359" s="16"/>
      <c r="I359" s="16"/>
      <c r="J359" s="16"/>
      <c r="K359" s="16"/>
      <c r="L359" s="16"/>
      <c r="M359" s="16"/>
      <c r="N359" s="16"/>
      <c r="O359" s="16"/>
      <c r="P359" s="16"/>
      <c r="Q359" s="16"/>
      <c r="R359" s="16"/>
      <c r="S359" s="16"/>
      <c r="T359" s="16"/>
      <c r="U359" s="17"/>
    </row>
    <row r="360" spans="2:21" x14ac:dyDescent="0.35">
      <c r="B360" s="24"/>
      <c r="C360" s="7"/>
      <c r="D360" s="16"/>
      <c r="E360" s="16"/>
      <c r="F360" s="16"/>
      <c r="G360" s="16"/>
      <c r="H360" s="16"/>
      <c r="I360" s="16"/>
      <c r="J360" s="16"/>
      <c r="K360" s="16"/>
      <c r="L360" s="16"/>
      <c r="M360" s="16"/>
      <c r="N360" s="16"/>
      <c r="O360" s="16"/>
      <c r="P360" s="16"/>
      <c r="Q360" s="16"/>
      <c r="R360" s="16"/>
      <c r="S360" s="16"/>
      <c r="T360" s="16"/>
      <c r="U360" s="17"/>
    </row>
    <row r="361" spans="2:21" x14ac:dyDescent="0.35">
      <c r="B361" s="24"/>
      <c r="C361" s="7"/>
      <c r="D361" s="16"/>
      <c r="E361" s="16"/>
      <c r="F361" s="16"/>
      <c r="G361" s="16"/>
      <c r="H361" s="16"/>
      <c r="I361" s="16"/>
      <c r="J361" s="16"/>
      <c r="K361" s="16"/>
      <c r="L361" s="16"/>
      <c r="M361" s="16"/>
      <c r="N361" s="16"/>
      <c r="O361" s="16"/>
      <c r="P361" s="16"/>
      <c r="Q361" s="16"/>
      <c r="R361" s="16"/>
      <c r="S361" s="16"/>
      <c r="T361" s="16"/>
      <c r="U361" s="17"/>
    </row>
    <row r="362" spans="2:21" x14ac:dyDescent="0.35">
      <c r="B362" s="24"/>
      <c r="C362" s="7"/>
      <c r="D362" s="16"/>
      <c r="E362" s="16"/>
      <c r="F362" s="16"/>
      <c r="G362" s="16"/>
      <c r="H362" s="16"/>
      <c r="I362" s="16"/>
      <c r="J362" s="16"/>
      <c r="K362" s="16"/>
      <c r="L362" s="16"/>
      <c r="M362" s="16"/>
      <c r="N362" s="16"/>
      <c r="O362" s="16"/>
      <c r="P362" s="16"/>
      <c r="Q362" s="16"/>
      <c r="R362" s="16"/>
      <c r="S362" s="16"/>
      <c r="T362" s="16"/>
      <c r="U362" s="17"/>
    </row>
    <row r="363" spans="2:21" x14ac:dyDescent="0.35">
      <c r="B363" s="24"/>
      <c r="C363" s="7"/>
      <c r="D363" s="16"/>
      <c r="E363" s="16"/>
      <c r="F363" s="16"/>
      <c r="G363" s="16"/>
      <c r="H363" s="16"/>
      <c r="I363" s="16"/>
      <c r="J363" s="16"/>
      <c r="K363" s="16"/>
      <c r="L363" s="16"/>
      <c r="M363" s="16"/>
      <c r="N363" s="16"/>
      <c r="O363" s="16"/>
      <c r="P363" s="16"/>
      <c r="Q363" s="16"/>
      <c r="R363" s="16"/>
      <c r="S363" s="16"/>
      <c r="T363" s="16"/>
      <c r="U363" s="17"/>
    </row>
    <row r="364" spans="2:21" x14ac:dyDescent="0.35">
      <c r="B364" s="24"/>
      <c r="C364" s="7"/>
      <c r="D364" s="16"/>
      <c r="E364" s="16"/>
      <c r="F364" s="16"/>
      <c r="G364" s="16"/>
      <c r="H364" s="16"/>
      <c r="I364" s="16"/>
      <c r="J364" s="16"/>
      <c r="K364" s="16"/>
      <c r="L364" s="16"/>
      <c r="M364" s="16"/>
      <c r="N364" s="16"/>
      <c r="O364" s="16"/>
      <c r="P364" s="16"/>
      <c r="Q364" s="16"/>
      <c r="R364" s="16"/>
      <c r="S364" s="16"/>
      <c r="T364" s="16"/>
      <c r="U364" s="17"/>
    </row>
    <row r="365" spans="2:21" x14ac:dyDescent="0.35">
      <c r="B365" s="24"/>
      <c r="C365" s="7"/>
      <c r="D365" s="16"/>
      <c r="E365" s="16"/>
      <c r="F365" s="16"/>
      <c r="G365" s="16"/>
      <c r="H365" s="16"/>
      <c r="I365" s="16"/>
      <c r="J365" s="16"/>
      <c r="K365" s="16"/>
      <c r="L365" s="16"/>
      <c r="M365" s="16"/>
      <c r="N365" s="16"/>
      <c r="O365" s="16"/>
      <c r="P365" s="16"/>
      <c r="Q365" s="16"/>
      <c r="R365" s="16"/>
      <c r="S365" s="16"/>
      <c r="T365" s="16"/>
      <c r="U365" s="17"/>
    </row>
    <row r="366" spans="2:21" x14ac:dyDescent="0.35">
      <c r="B366" s="24"/>
      <c r="C366" s="7"/>
      <c r="D366" s="16"/>
      <c r="E366" s="16"/>
      <c r="F366" s="16"/>
      <c r="G366" s="16"/>
      <c r="H366" s="16"/>
      <c r="I366" s="16"/>
      <c r="J366" s="16"/>
      <c r="K366" s="16"/>
      <c r="L366" s="16"/>
      <c r="M366" s="16"/>
      <c r="N366" s="16"/>
      <c r="O366" s="16"/>
      <c r="P366" s="16"/>
      <c r="Q366" s="16"/>
      <c r="R366" s="16"/>
      <c r="S366" s="16"/>
      <c r="T366" s="16"/>
      <c r="U366" s="17"/>
    </row>
    <row r="367" spans="2:21" x14ac:dyDescent="0.35">
      <c r="B367" s="24"/>
      <c r="C367" s="7"/>
      <c r="D367" s="16"/>
      <c r="E367" s="16"/>
      <c r="F367" s="16"/>
      <c r="G367" s="16"/>
      <c r="H367" s="16"/>
      <c r="I367" s="16"/>
      <c r="J367" s="16"/>
      <c r="K367" s="16"/>
      <c r="L367" s="16"/>
      <c r="M367" s="16"/>
      <c r="N367" s="16"/>
      <c r="O367" s="16"/>
      <c r="P367" s="16"/>
      <c r="Q367" s="16"/>
      <c r="R367" s="16"/>
      <c r="S367" s="16"/>
      <c r="T367" s="16"/>
      <c r="U367" s="17"/>
    </row>
    <row r="368" spans="2:21" x14ac:dyDescent="0.35">
      <c r="B368" s="24"/>
      <c r="C368" s="7"/>
      <c r="D368" s="16"/>
      <c r="E368" s="16"/>
      <c r="F368" s="16"/>
      <c r="G368" s="16"/>
      <c r="H368" s="16"/>
      <c r="I368" s="16"/>
      <c r="J368" s="16"/>
      <c r="K368" s="16"/>
      <c r="L368" s="16"/>
      <c r="M368" s="16"/>
      <c r="N368" s="16"/>
      <c r="O368" s="16"/>
      <c r="P368" s="16"/>
      <c r="Q368" s="16"/>
      <c r="R368" s="16"/>
      <c r="S368" s="16"/>
      <c r="T368" s="16"/>
      <c r="U368" s="17"/>
    </row>
    <row r="369" spans="2:21" x14ac:dyDescent="0.35">
      <c r="B369" s="24"/>
      <c r="C369" s="7"/>
      <c r="D369" s="16"/>
      <c r="E369" s="16"/>
      <c r="F369" s="16"/>
      <c r="G369" s="16"/>
      <c r="H369" s="16"/>
      <c r="I369" s="16"/>
      <c r="J369" s="16"/>
      <c r="K369" s="16"/>
      <c r="L369" s="16"/>
      <c r="M369" s="16"/>
      <c r="N369" s="16"/>
      <c r="O369" s="16"/>
      <c r="P369" s="16"/>
      <c r="Q369" s="16"/>
      <c r="R369" s="16"/>
      <c r="S369" s="16"/>
      <c r="T369" s="16"/>
      <c r="U369" s="17"/>
    </row>
    <row r="370" spans="2:21" x14ac:dyDescent="0.35">
      <c r="B370" s="24"/>
      <c r="C370" s="7"/>
      <c r="D370" s="16"/>
      <c r="E370" s="16"/>
      <c r="F370" s="16"/>
      <c r="G370" s="16"/>
      <c r="H370" s="16"/>
      <c r="I370" s="16"/>
      <c r="J370" s="16"/>
      <c r="K370" s="16"/>
      <c r="L370" s="16"/>
      <c r="M370" s="16"/>
      <c r="N370" s="16"/>
      <c r="O370" s="16"/>
      <c r="P370" s="16"/>
      <c r="Q370" s="16"/>
      <c r="R370" s="16"/>
      <c r="S370" s="16"/>
      <c r="T370" s="16"/>
      <c r="U370" s="17"/>
    </row>
    <row r="371" spans="2:21" x14ac:dyDescent="0.35">
      <c r="B371" s="24"/>
      <c r="C371" s="7"/>
      <c r="D371" s="16"/>
      <c r="E371" s="16"/>
      <c r="F371" s="16"/>
      <c r="G371" s="16"/>
      <c r="H371" s="16"/>
      <c r="I371" s="16"/>
      <c r="J371" s="16"/>
      <c r="K371" s="16"/>
      <c r="L371" s="16"/>
      <c r="M371" s="16"/>
      <c r="N371" s="16"/>
      <c r="O371" s="16"/>
      <c r="P371" s="16"/>
      <c r="Q371" s="16"/>
      <c r="R371" s="16"/>
      <c r="S371" s="16"/>
      <c r="T371" s="16"/>
      <c r="U371" s="17"/>
    </row>
    <row r="372" spans="2:21" x14ac:dyDescent="0.35">
      <c r="B372" s="24"/>
      <c r="C372" s="7"/>
      <c r="D372" s="16"/>
      <c r="E372" s="16"/>
      <c r="F372" s="16"/>
      <c r="G372" s="16"/>
      <c r="H372" s="16"/>
      <c r="I372" s="16"/>
      <c r="J372" s="16"/>
      <c r="K372" s="16"/>
      <c r="L372" s="16"/>
      <c r="M372" s="16"/>
      <c r="N372" s="16"/>
      <c r="O372" s="16"/>
      <c r="P372" s="16"/>
      <c r="Q372" s="16"/>
      <c r="R372" s="16"/>
      <c r="S372" s="16"/>
      <c r="T372" s="16"/>
      <c r="U372" s="17"/>
    </row>
    <row r="373" spans="2:21" x14ac:dyDescent="0.35">
      <c r="B373" s="24"/>
      <c r="C373" s="7"/>
      <c r="D373" s="16"/>
      <c r="E373" s="16"/>
      <c r="F373" s="16"/>
      <c r="G373" s="16"/>
      <c r="H373" s="16"/>
      <c r="I373" s="16"/>
      <c r="J373" s="16"/>
      <c r="K373" s="16"/>
      <c r="L373" s="16"/>
      <c r="M373" s="16"/>
      <c r="N373" s="16"/>
      <c r="O373" s="16"/>
      <c r="P373" s="16"/>
      <c r="Q373" s="16"/>
      <c r="R373" s="16"/>
      <c r="S373" s="16"/>
      <c r="T373" s="16"/>
      <c r="U373" s="17"/>
    </row>
    <row r="374" spans="2:21" x14ac:dyDescent="0.35">
      <c r="B374" s="24"/>
      <c r="C374" s="7"/>
      <c r="D374" s="16"/>
      <c r="E374" s="16"/>
      <c r="F374" s="16"/>
      <c r="G374" s="16"/>
      <c r="H374" s="16"/>
      <c r="I374" s="16"/>
      <c r="J374" s="16"/>
      <c r="K374" s="16"/>
      <c r="L374" s="16"/>
      <c r="M374" s="16"/>
      <c r="N374" s="16"/>
      <c r="O374" s="16"/>
      <c r="P374" s="16"/>
      <c r="Q374" s="16"/>
      <c r="R374" s="16"/>
      <c r="S374" s="16"/>
      <c r="T374" s="16"/>
      <c r="U374" s="17"/>
    </row>
    <row r="375" spans="2:21" x14ac:dyDescent="0.35">
      <c r="B375" s="24"/>
      <c r="C375" s="7"/>
      <c r="D375" s="16"/>
      <c r="E375" s="16"/>
      <c r="F375" s="16"/>
      <c r="G375" s="16"/>
      <c r="H375" s="16"/>
      <c r="I375" s="16"/>
      <c r="J375" s="16"/>
      <c r="K375" s="16"/>
      <c r="L375" s="16"/>
      <c r="M375" s="16"/>
      <c r="N375" s="16"/>
      <c r="O375" s="16"/>
      <c r="P375" s="16"/>
      <c r="Q375" s="16"/>
      <c r="R375" s="16"/>
      <c r="S375" s="16"/>
      <c r="T375" s="16"/>
      <c r="U375" s="17"/>
    </row>
    <row r="376" spans="2:21" x14ac:dyDescent="0.35">
      <c r="B376" s="24"/>
      <c r="C376" s="7"/>
      <c r="D376" s="16"/>
      <c r="E376" s="16"/>
      <c r="F376" s="16"/>
      <c r="G376" s="16"/>
      <c r="H376" s="16"/>
      <c r="I376" s="16"/>
      <c r="J376" s="16"/>
      <c r="K376" s="16"/>
      <c r="L376" s="16"/>
      <c r="M376" s="16"/>
      <c r="N376" s="16"/>
      <c r="O376" s="16"/>
      <c r="P376" s="16"/>
      <c r="Q376" s="16"/>
      <c r="R376" s="16"/>
      <c r="S376" s="16"/>
      <c r="T376" s="16"/>
      <c r="U376" s="17"/>
    </row>
    <row r="377" spans="2:21" x14ac:dyDescent="0.35">
      <c r="B377" s="24"/>
      <c r="C377" s="7"/>
      <c r="D377" s="16"/>
      <c r="E377" s="16"/>
      <c r="F377" s="16"/>
      <c r="G377" s="16"/>
      <c r="H377" s="16"/>
      <c r="I377" s="16"/>
      <c r="J377" s="16"/>
      <c r="K377" s="16"/>
      <c r="L377" s="16"/>
      <c r="M377" s="16"/>
      <c r="N377" s="16"/>
      <c r="O377" s="16"/>
      <c r="P377" s="16"/>
      <c r="Q377" s="16"/>
      <c r="R377" s="16"/>
      <c r="S377" s="16"/>
      <c r="T377" s="16"/>
      <c r="U377" s="17"/>
    </row>
    <row r="378" spans="2:21" x14ac:dyDescent="0.35">
      <c r="B378" s="24"/>
      <c r="C378" s="7"/>
      <c r="D378" s="16"/>
      <c r="E378" s="16"/>
      <c r="F378" s="16"/>
      <c r="G378" s="16"/>
      <c r="H378" s="16"/>
      <c r="I378" s="16"/>
      <c r="J378" s="16"/>
      <c r="K378" s="16"/>
      <c r="L378" s="16"/>
      <c r="M378" s="16"/>
      <c r="N378" s="16"/>
      <c r="O378" s="16"/>
      <c r="P378" s="16"/>
      <c r="Q378" s="16"/>
      <c r="R378" s="16"/>
      <c r="S378" s="16"/>
      <c r="T378" s="16"/>
      <c r="U378" s="17"/>
    </row>
    <row r="379" spans="2:21" x14ac:dyDescent="0.35">
      <c r="B379" s="24"/>
      <c r="C379" s="7"/>
      <c r="D379" s="16"/>
      <c r="E379" s="16"/>
      <c r="F379" s="16"/>
      <c r="G379" s="16"/>
      <c r="H379" s="16"/>
      <c r="I379" s="16"/>
      <c r="J379" s="16"/>
      <c r="K379" s="16"/>
      <c r="L379" s="16"/>
      <c r="M379" s="16"/>
      <c r="N379" s="16"/>
      <c r="O379" s="16"/>
      <c r="P379" s="16"/>
      <c r="Q379" s="16"/>
      <c r="R379" s="16"/>
      <c r="S379" s="16"/>
      <c r="T379" s="16"/>
      <c r="U379" s="17"/>
    </row>
    <row r="380" spans="2:21" x14ac:dyDescent="0.35">
      <c r="B380" s="24"/>
      <c r="C380" s="7"/>
      <c r="D380" s="16"/>
      <c r="E380" s="16"/>
      <c r="F380" s="16"/>
      <c r="G380" s="16"/>
      <c r="H380" s="16"/>
      <c r="I380" s="16"/>
      <c r="J380" s="16"/>
      <c r="K380" s="16"/>
      <c r="L380" s="16"/>
      <c r="M380" s="16"/>
      <c r="N380" s="16"/>
      <c r="O380" s="16"/>
      <c r="P380" s="16"/>
      <c r="Q380" s="16"/>
      <c r="R380" s="16"/>
      <c r="S380" s="16"/>
      <c r="T380" s="16"/>
      <c r="U380" s="17"/>
    </row>
    <row r="381" spans="2:21" x14ac:dyDescent="0.35">
      <c r="B381" s="24"/>
      <c r="C381" s="7"/>
      <c r="D381" s="16"/>
      <c r="E381" s="16"/>
      <c r="F381" s="16"/>
      <c r="G381" s="16"/>
      <c r="H381" s="16"/>
      <c r="I381" s="16"/>
      <c r="J381" s="16"/>
      <c r="K381" s="16"/>
      <c r="L381" s="16"/>
      <c r="M381" s="16"/>
      <c r="N381" s="16"/>
      <c r="O381" s="16"/>
      <c r="P381" s="16"/>
      <c r="Q381" s="16"/>
      <c r="R381" s="16"/>
      <c r="S381" s="16"/>
      <c r="T381" s="16"/>
      <c r="U381" s="17"/>
    </row>
    <row r="382" spans="2:21" x14ac:dyDescent="0.35">
      <c r="B382" s="24"/>
      <c r="C382" s="7"/>
      <c r="D382" s="16"/>
      <c r="E382" s="16"/>
      <c r="F382" s="16"/>
      <c r="G382" s="16"/>
      <c r="H382" s="16"/>
      <c r="I382" s="16"/>
      <c r="J382" s="16"/>
      <c r="K382" s="16"/>
      <c r="L382" s="16"/>
      <c r="M382" s="16"/>
      <c r="N382" s="16"/>
      <c r="O382" s="16"/>
      <c r="P382" s="16"/>
      <c r="Q382" s="16"/>
      <c r="R382" s="16"/>
      <c r="S382" s="16"/>
      <c r="T382" s="16"/>
      <c r="U382" s="17"/>
    </row>
    <row r="383" spans="2:21" x14ac:dyDescent="0.35">
      <c r="B383" s="24"/>
      <c r="C383" s="7"/>
      <c r="D383" s="16"/>
      <c r="E383" s="16"/>
      <c r="F383" s="16"/>
      <c r="G383" s="16"/>
      <c r="H383" s="16"/>
      <c r="I383" s="16"/>
      <c r="J383" s="16"/>
      <c r="K383" s="16"/>
      <c r="L383" s="16"/>
      <c r="M383" s="16"/>
      <c r="N383" s="16"/>
      <c r="O383" s="16"/>
      <c r="P383" s="16"/>
      <c r="Q383" s="16"/>
      <c r="R383" s="16"/>
      <c r="S383" s="16"/>
      <c r="T383" s="16"/>
      <c r="U383" s="17"/>
    </row>
    <row r="384" spans="2:21" x14ac:dyDescent="0.35">
      <c r="B384" s="24"/>
      <c r="C384" s="7"/>
      <c r="D384" s="16"/>
      <c r="E384" s="16"/>
      <c r="F384" s="16"/>
      <c r="G384" s="16"/>
      <c r="H384" s="16"/>
      <c r="I384" s="16"/>
      <c r="J384" s="16"/>
      <c r="K384" s="16"/>
      <c r="L384" s="16"/>
      <c r="M384" s="16"/>
      <c r="N384" s="16"/>
      <c r="O384" s="16"/>
      <c r="P384" s="16"/>
      <c r="Q384" s="16"/>
      <c r="R384" s="16"/>
      <c r="S384" s="16"/>
      <c r="T384" s="16"/>
      <c r="U384" s="17"/>
    </row>
    <row r="385" spans="2:21" x14ac:dyDescent="0.35">
      <c r="B385" s="24"/>
      <c r="C385" s="7"/>
      <c r="D385" s="16"/>
      <c r="E385" s="16"/>
      <c r="F385" s="16"/>
      <c r="G385" s="16"/>
      <c r="H385" s="16"/>
      <c r="I385" s="16"/>
      <c r="J385" s="16"/>
      <c r="K385" s="16"/>
      <c r="L385" s="16"/>
      <c r="M385" s="16"/>
      <c r="N385" s="16"/>
      <c r="O385" s="16"/>
      <c r="P385" s="16"/>
      <c r="Q385" s="16"/>
      <c r="R385" s="16"/>
      <c r="S385" s="16"/>
      <c r="T385" s="16"/>
      <c r="U385" s="17"/>
    </row>
    <row r="386" spans="2:21" x14ac:dyDescent="0.35">
      <c r="B386" s="24"/>
      <c r="C386" s="7"/>
      <c r="D386" s="16"/>
      <c r="E386" s="16"/>
      <c r="F386" s="16"/>
      <c r="G386" s="16"/>
      <c r="H386" s="16"/>
      <c r="I386" s="16"/>
      <c r="J386" s="16"/>
      <c r="K386" s="16"/>
      <c r="L386" s="16"/>
      <c r="M386" s="16"/>
      <c r="N386" s="16"/>
      <c r="O386" s="16"/>
      <c r="P386" s="16"/>
      <c r="Q386" s="16"/>
      <c r="R386" s="16"/>
      <c r="S386" s="16"/>
      <c r="T386" s="16"/>
      <c r="U386" s="17"/>
    </row>
    <row r="387" spans="2:21" x14ac:dyDescent="0.35">
      <c r="B387" s="24"/>
      <c r="C387" s="7"/>
      <c r="D387" s="16"/>
      <c r="E387" s="16"/>
      <c r="F387" s="16"/>
      <c r="G387" s="16"/>
      <c r="H387" s="16"/>
      <c r="I387" s="16"/>
      <c r="J387" s="16"/>
      <c r="K387" s="16"/>
      <c r="L387" s="16"/>
      <c r="M387" s="16"/>
      <c r="N387" s="16"/>
      <c r="O387" s="16"/>
      <c r="P387" s="16"/>
      <c r="Q387" s="16"/>
      <c r="R387" s="16"/>
      <c r="S387" s="16"/>
      <c r="T387" s="16"/>
      <c r="U387" s="17"/>
    </row>
    <row r="388" spans="2:21" x14ac:dyDescent="0.35">
      <c r="B388" s="24"/>
      <c r="C388" s="7"/>
      <c r="D388" s="16"/>
      <c r="E388" s="16"/>
      <c r="F388" s="16"/>
      <c r="G388" s="16"/>
      <c r="H388" s="16"/>
      <c r="I388" s="16"/>
      <c r="J388" s="16"/>
      <c r="K388" s="16"/>
      <c r="L388" s="16"/>
      <c r="M388" s="16"/>
      <c r="N388" s="16"/>
      <c r="O388" s="16"/>
      <c r="P388" s="16"/>
      <c r="Q388" s="16"/>
      <c r="R388" s="16"/>
      <c r="S388" s="16"/>
      <c r="T388" s="16"/>
      <c r="U388" s="17"/>
    </row>
    <row r="389" spans="2:21" x14ac:dyDescent="0.35">
      <c r="B389" s="24"/>
      <c r="C389" s="7"/>
      <c r="D389" s="16"/>
      <c r="E389" s="16"/>
      <c r="F389" s="16"/>
      <c r="G389" s="16"/>
      <c r="H389" s="16"/>
      <c r="I389" s="16"/>
      <c r="J389" s="16"/>
      <c r="K389" s="16"/>
      <c r="L389" s="16"/>
      <c r="M389" s="16"/>
      <c r="N389" s="16"/>
      <c r="O389" s="16"/>
      <c r="P389" s="16"/>
      <c r="Q389" s="16"/>
      <c r="R389" s="16"/>
      <c r="S389" s="16"/>
      <c r="T389" s="16"/>
      <c r="U389" s="17"/>
    </row>
    <row r="390" spans="2:21" x14ac:dyDescent="0.35">
      <c r="B390" s="24"/>
      <c r="C390" s="7"/>
      <c r="D390" s="16"/>
      <c r="E390" s="16"/>
      <c r="F390" s="16"/>
      <c r="G390" s="16"/>
      <c r="H390" s="16"/>
      <c r="I390" s="16"/>
      <c r="J390" s="16"/>
      <c r="K390" s="16"/>
      <c r="L390" s="16"/>
      <c r="M390" s="16"/>
      <c r="N390" s="16"/>
      <c r="O390" s="16"/>
      <c r="P390" s="16"/>
      <c r="Q390" s="16"/>
      <c r="R390" s="16"/>
      <c r="S390" s="16"/>
      <c r="T390" s="16"/>
      <c r="U390" s="17"/>
    </row>
    <row r="391" spans="2:21" x14ac:dyDescent="0.35">
      <c r="B391" s="24"/>
      <c r="C391" s="7"/>
      <c r="D391" s="16"/>
      <c r="E391" s="16"/>
      <c r="F391" s="16"/>
      <c r="G391" s="16"/>
      <c r="H391" s="16"/>
      <c r="I391" s="16"/>
      <c r="J391" s="16"/>
      <c r="K391" s="16"/>
      <c r="L391" s="16"/>
      <c r="M391" s="16"/>
      <c r="N391" s="16"/>
      <c r="O391" s="16"/>
      <c r="P391" s="16"/>
      <c r="Q391" s="16"/>
      <c r="R391" s="16"/>
      <c r="S391" s="16"/>
      <c r="T391" s="16"/>
      <c r="U391" s="17"/>
    </row>
    <row r="392" spans="2:21" x14ac:dyDescent="0.35">
      <c r="B392" s="24"/>
      <c r="C392" s="7"/>
      <c r="D392" s="16"/>
      <c r="E392" s="16"/>
      <c r="F392" s="16"/>
      <c r="G392" s="16"/>
      <c r="H392" s="16"/>
      <c r="I392" s="16"/>
      <c r="J392" s="16"/>
      <c r="K392" s="16"/>
      <c r="L392" s="16"/>
      <c r="M392" s="16"/>
      <c r="N392" s="16"/>
      <c r="O392" s="16"/>
      <c r="P392" s="16"/>
      <c r="Q392" s="16"/>
      <c r="R392" s="16"/>
      <c r="S392" s="16"/>
      <c r="T392" s="16"/>
      <c r="U392" s="17"/>
    </row>
    <row r="393" spans="2:21" x14ac:dyDescent="0.35">
      <c r="B393" s="24"/>
      <c r="C393" s="7"/>
      <c r="D393" s="16"/>
      <c r="E393" s="16"/>
      <c r="F393" s="16"/>
      <c r="G393" s="16"/>
      <c r="H393" s="16"/>
      <c r="I393" s="16"/>
      <c r="J393" s="16"/>
      <c r="K393" s="16"/>
      <c r="L393" s="16"/>
      <c r="M393" s="16"/>
      <c r="N393" s="16"/>
      <c r="O393" s="16"/>
      <c r="P393" s="16"/>
      <c r="Q393" s="16"/>
      <c r="R393" s="16"/>
      <c r="S393" s="16"/>
      <c r="T393" s="16"/>
      <c r="U393" s="17"/>
    </row>
    <row r="394" spans="2:21" x14ac:dyDescent="0.35">
      <c r="B394" s="24"/>
      <c r="C394" s="7"/>
      <c r="D394" s="16"/>
      <c r="E394" s="16"/>
      <c r="F394" s="16"/>
      <c r="G394" s="16"/>
      <c r="H394" s="16"/>
      <c r="I394" s="16"/>
      <c r="J394" s="16"/>
      <c r="K394" s="16"/>
      <c r="L394" s="16"/>
      <c r="M394" s="16"/>
      <c r="N394" s="16"/>
      <c r="O394" s="16"/>
      <c r="P394" s="16"/>
      <c r="Q394" s="16"/>
      <c r="R394" s="16"/>
      <c r="S394" s="16"/>
      <c r="T394" s="16"/>
      <c r="U394" s="17"/>
    </row>
    <row r="395" spans="2:21" x14ac:dyDescent="0.35">
      <c r="B395" s="24"/>
      <c r="C395" s="7"/>
      <c r="D395" s="16"/>
      <c r="E395" s="16"/>
      <c r="F395" s="16"/>
      <c r="G395" s="16"/>
      <c r="H395" s="16"/>
      <c r="I395" s="16"/>
      <c r="J395" s="16"/>
      <c r="K395" s="16"/>
      <c r="L395" s="16"/>
      <c r="M395" s="16"/>
      <c r="N395" s="16"/>
      <c r="O395" s="16"/>
      <c r="P395" s="16"/>
      <c r="Q395" s="16"/>
      <c r="R395" s="16"/>
      <c r="S395" s="16"/>
      <c r="T395" s="16"/>
      <c r="U395" s="17"/>
    </row>
    <row r="396" spans="2:21" x14ac:dyDescent="0.35">
      <c r="B396" s="24"/>
      <c r="C396" s="7"/>
      <c r="D396" s="16"/>
      <c r="E396" s="16"/>
      <c r="F396" s="16"/>
      <c r="G396" s="16"/>
      <c r="H396" s="16"/>
      <c r="I396" s="16"/>
      <c r="J396" s="16"/>
      <c r="K396" s="16"/>
      <c r="L396" s="16"/>
      <c r="M396" s="16"/>
      <c r="N396" s="16"/>
      <c r="O396" s="16"/>
      <c r="P396" s="16"/>
      <c r="Q396" s="16"/>
      <c r="R396" s="16"/>
      <c r="S396" s="16"/>
      <c r="T396" s="16"/>
      <c r="U396" s="17"/>
    </row>
    <row r="397" spans="2:21" x14ac:dyDescent="0.35">
      <c r="B397" s="24"/>
      <c r="C397" s="7"/>
      <c r="D397" s="16"/>
      <c r="E397" s="16"/>
      <c r="F397" s="16"/>
      <c r="G397" s="16"/>
      <c r="H397" s="16"/>
      <c r="I397" s="16"/>
      <c r="J397" s="16"/>
      <c r="K397" s="16"/>
      <c r="L397" s="16"/>
      <c r="M397" s="16"/>
      <c r="N397" s="16"/>
      <c r="O397" s="16"/>
      <c r="P397" s="16"/>
      <c r="Q397" s="16"/>
      <c r="R397" s="16"/>
      <c r="S397" s="16"/>
      <c r="T397" s="16"/>
      <c r="U397" s="17"/>
    </row>
    <row r="398" spans="2:21" x14ac:dyDescent="0.35">
      <c r="B398" s="24"/>
      <c r="C398" s="7"/>
      <c r="D398" s="16"/>
      <c r="E398" s="16"/>
      <c r="F398" s="16"/>
      <c r="G398" s="16"/>
      <c r="H398" s="16"/>
      <c r="I398" s="16"/>
      <c r="J398" s="16"/>
      <c r="K398" s="16"/>
      <c r="L398" s="16"/>
      <c r="M398" s="16"/>
      <c r="N398" s="16"/>
      <c r="O398" s="16"/>
      <c r="P398" s="16"/>
      <c r="Q398" s="16"/>
      <c r="R398" s="16"/>
      <c r="S398" s="16"/>
      <c r="T398" s="16"/>
      <c r="U398" s="17"/>
    </row>
    <row r="399" spans="2:21" x14ac:dyDescent="0.35">
      <c r="B399" s="24"/>
      <c r="C399" s="7"/>
      <c r="D399" s="16"/>
      <c r="E399" s="16"/>
      <c r="F399" s="16"/>
      <c r="G399" s="16"/>
      <c r="H399" s="16"/>
      <c r="I399" s="16"/>
      <c r="J399" s="16"/>
      <c r="K399" s="16"/>
      <c r="L399" s="16"/>
      <c r="M399" s="16"/>
      <c r="N399" s="16"/>
      <c r="O399" s="16"/>
      <c r="P399" s="16"/>
      <c r="Q399" s="16"/>
      <c r="R399" s="16"/>
      <c r="S399" s="16"/>
      <c r="T399" s="16"/>
      <c r="U399" s="17"/>
    </row>
    <row r="400" spans="2:21" x14ac:dyDescent="0.35">
      <c r="B400" s="24"/>
      <c r="C400" s="7"/>
      <c r="D400" s="16"/>
      <c r="E400" s="16"/>
      <c r="F400" s="16"/>
      <c r="G400" s="16"/>
      <c r="H400" s="16"/>
      <c r="I400" s="16"/>
      <c r="J400" s="16"/>
      <c r="K400" s="16"/>
      <c r="L400" s="16"/>
      <c r="M400" s="16"/>
      <c r="N400" s="16"/>
      <c r="O400" s="16"/>
      <c r="P400" s="16"/>
      <c r="Q400" s="16"/>
      <c r="R400" s="16"/>
      <c r="S400" s="16"/>
      <c r="T400" s="16"/>
      <c r="U400" s="17"/>
    </row>
    <row r="401" spans="2:21" x14ac:dyDescent="0.35">
      <c r="B401" s="24"/>
      <c r="C401" s="7"/>
      <c r="D401" s="16"/>
      <c r="E401" s="16"/>
      <c r="F401" s="16"/>
      <c r="G401" s="16"/>
      <c r="H401" s="16"/>
      <c r="I401" s="16"/>
      <c r="J401" s="16"/>
      <c r="K401" s="16"/>
      <c r="L401" s="16"/>
      <c r="M401" s="16"/>
      <c r="N401" s="16"/>
      <c r="O401" s="16"/>
      <c r="P401" s="16"/>
      <c r="Q401" s="16"/>
      <c r="R401" s="16"/>
      <c r="S401" s="16"/>
      <c r="T401" s="16"/>
      <c r="U401" s="17"/>
    </row>
    <row r="402" spans="2:21" x14ac:dyDescent="0.35">
      <c r="B402" s="24"/>
      <c r="C402" s="7"/>
      <c r="D402" s="16"/>
      <c r="E402" s="16"/>
      <c r="F402" s="16"/>
      <c r="G402" s="16"/>
      <c r="H402" s="16"/>
      <c r="I402" s="16"/>
      <c r="J402" s="16"/>
      <c r="K402" s="16"/>
      <c r="L402" s="16"/>
      <c r="M402" s="16"/>
      <c r="N402" s="16"/>
      <c r="O402" s="16"/>
      <c r="P402" s="16"/>
      <c r="Q402" s="16"/>
      <c r="R402" s="16"/>
      <c r="S402" s="16"/>
      <c r="T402" s="16"/>
      <c r="U402" s="17"/>
    </row>
    <row r="403" spans="2:21" x14ac:dyDescent="0.35">
      <c r="B403" s="24"/>
      <c r="C403" s="7"/>
      <c r="D403" s="16"/>
      <c r="E403" s="16"/>
      <c r="F403" s="16"/>
      <c r="G403" s="16"/>
      <c r="H403" s="16"/>
      <c r="I403" s="16"/>
      <c r="J403" s="16"/>
      <c r="K403" s="16"/>
      <c r="L403" s="16"/>
      <c r="M403" s="16"/>
      <c r="N403" s="16"/>
      <c r="O403" s="16"/>
      <c r="P403" s="16"/>
      <c r="Q403" s="16"/>
      <c r="R403" s="16"/>
      <c r="S403" s="16"/>
      <c r="T403" s="16"/>
      <c r="U403" s="17"/>
    </row>
    <row r="404" spans="2:21" x14ac:dyDescent="0.35">
      <c r="B404" s="24"/>
      <c r="C404" s="7"/>
      <c r="D404" s="16"/>
      <c r="E404" s="16"/>
      <c r="F404" s="16"/>
      <c r="G404" s="16"/>
      <c r="H404" s="16"/>
      <c r="I404" s="16"/>
      <c r="J404" s="16"/>
      <c r="K404" s="16"/>
      <c r="L404" s="16"/>
      <c r="M404" s="16"/>
      <c r="N404" s="16"/>
      <c r="O404" s="16"/>
      <c r="P404" s="16"/>
      <c r="Q404" s="16"/>
      <c r="R404" s="16"/>
      <c r="S404" s="16"/>
      <c r="T404" s="16"/>
      <c r="U404" s="17"/>
    </row>
    <row r="405" spans="2:21" x14ac:dyDescent="0.35">
      <c r="B405" s="24"/>
      <c r="C405" s="7"/>
      <c r="D405" s="16"/>
      <c r="E405" s="16"/>
      <c r="F405" s="16"/>
      <c r="G405" s="16"/>
      <c r="H405" s="16"/>
      <c r="I405" s="16"/>
      <c r="J405" s="16"/>
      <c r="K405" s="16"/>
      <c r="L405" s="16"/>
      <c r="M405" s="16"/>
      <c r="N405" s="16"/>
      <c r="O405" s="16"/>
      <c r="P405" s="16"/>
      <c r="Q405" s="16"/>
      <c r="R405" s="16"/>
      <c r="S405" s="16"/>
      <c r="T405" s="16"/>
      <c r="U405" s="17"/>
    </row>
    <row r="406" spans="2:21" x14ac:dyDescent="0.35">
      <c r="B406" s="24"/>
      <c r="C406" s="7"/>
      <c r="D406" s="16"/>
      <c r="E406" s="16"/>
      <c r="F406" s="16"/>
      <c r="G406" s="16"/>
      <c r="H406" s="16"/>
      <c r="I406" s="16"/>
      <c r="J406" s="16"/>
      <c r="K406" s="16"/>
      <c r="L406" s="16"/>
      <c r="M406" s="16"/>
      <c r="N406" s="16"/>
      <c r="O406" s="16"/>
      <c r="P406" s="16"/>
      <c r="Q406" s="16"/>
      <c r="R406" s="16"/>
      <c r="S406" s="16"/>
      <c r="T406" s="16"/>
      <c r="U406" s="17"/>
    </row>
    <row r="407" spans="2:21" x14ac:dyDescent="0.35">
      <c r="B407" s="24"/>
      <c r="C407" s="7"/>
      <c r="D407" s="16"/>
      <c r="E407" s="16"/>
      <c r="F407" s="16"/>
      <c r="G407" s="16"/>
      <c r="H407" s="16"/>
      <c r="I407" s="16"/>
      <c r="J407" s="16"/>
      <c r="K407" s="16"/>
      <c r="L407" s="16"/>
      <c r="M407" s="16"/>
      <c r="N407" s="16"/>
      <c r="O407" s="16"/>
      <c r="P407" s="16"/>
      <c r="Q407" s="16"/>
      <c r="R407" s="16"/>
      <c r="S407" s="16"/>
      <c r="T407" s="16"/>
      <c r="U407" s="17"/>
    </row>
    <row r="408" spans="2:21" x14ac:dyDescent="0.35">
      <c r="B408" s="24"/>
      <c r="C408" s="7"/>
      <c r="D408" s="16"/>
      <c r="E408" s="16"/>
      <c r="F408" s="16"/>
      <c r="G408" s="16"/>
      <c r="H408" s="16"/>
      <c r="I408" s="16"/>
      <c r="J408" s="16"/>
      <c r="K408" s="16"/>
      <c r="L408" s="16"/>
      <c r="M408" s="16"/>
      <c r="N408" s="16"/>
      <c r="O408" s="16"/>
      <c r="P408" s="16"/>
      <c r="Q408" s="16"/>
      <c r="R408" s="16"/>
      <c r="S408" s="16"/>
      <c r="T408" s="16"/>
      <c r="U408" s="17"/>
    </row>
    <row r="409" spans="2:21" x14ac:dyDescent="0.35">
      <c r="B409" s="24"/>
      <c r="C409" s="7"/>
      <c r="D409" s="16"/>
      <c r="E409" s="16"/>
      <c r="F409" s="16"/>
      <c r="G409" s="16"/>
      <c r="H409" s="16"/>
      <c r="I409" s="16"/>
      <c r="J409" s="16"/>
      <c r="K409" s="16"/>
      <c r="L409" s="16"/>
      <c r="M409" s="16"/>
      <c r="N409" s="16"/>
      <c r="O409" s="16"/>
      <c r="P409" s="16"/>
      <c r="Q409" s="16"/>
      <c r="R409" s="16"/>
      <c r="S409" s="16"/>
      <c r="T409" s="16"/>
      <c r="U409" s="17"/>
    </row>
    <row r="410" spans="2:21" x14ac:dyDescent="0.35">
      <c r="B410" s="24"/>
      <c r="C410" s="7"/>
      <c r="D410" s="16"/>
      <c r="E410" s="16"/>
      <c r="F410" s="16"/>
      <c r="G410" s="16"/>
      <c r="H410" s="16"/>
      <c r="I410" s="16"/>
      <c r="J410" s="16"/>
      <c r="K410" s="16"/>
      <c r="L410" s="16"/>
      <c r="M410" s="16"/>
      <c r="N410" s="16"/>
      <c r="O410" s="16"/>
      <c r="P410" s="16"/>
      <c r="Q410" s="16"/>
      <c r="R410" s="16"/>
      <c r="S410" s="16"/>
      <c r="T410" s="16"/>
      <c r="U410" s="17"/>
    </row>
    <row r="411" spans="2:21" x14ac:dyDescent="0.35">
      <c r="B411" s="24"/>
      <c r="C411" s="7"/>
      <c r="D411" s="16"/>
      <c r="E411" s="16"/>
      <c r="F411" s="16"/>
      <c r="G411" s="16"/>
      <c r="H411" s="16"/>
      <c r="I411" s="16"/>
      <c r="J411" s="16"/>
      <c r="K411" s="16"/>
      <c r="L411" s="16"/>
      <c r="M411" s="16"/>
      <c r="N411" s="16"/>
      <c r="O411" s="16"/>
      <c r="P411" s="16"/>
      <c r="Q411" s="16"/>
      <c r="R411" s="16"/>
      <c r="S411" s="16"/>
      <c r="T411" s="16"/>
      <c r="U411" s="17"/>
    </row>
    <row r="412" spans="2:21" x14ac:dyDescent="0.35">
      <c r="B412" s="24"/>
      <c r="C412" s="7"/>
      <c r="D412" s="16"/>
      <c r="E412" s="16"/>
      <c r="F412" s="16"/>
      <c r="G412" s="16"/>
      <c r="H412" s="16"/>
      <c r="I412" s="16"/>
      <c r="J412" s="16"/>
      <c r="K412" s="16"/>
      <c r="L412" s="16"/>
      <c r="M412" s="16"/>
      <c r="N412" s="16"/>
      <c r="O412" s="16"/>
      <c r="P412" s="16"/>
      <c r="Q412" s="16"/>
      <c r="R412" s="16"/>
      <c r="S412" s="16"/>
      <c r="T412" s="16"/>
      <c r="U412" s="17"/>
    </row>
    <row r="413" spans="2:21" x14ac:dyDescent="0.35">
      <c r="B413" s="24"/>
      <c r="C413" s="7"/>
      <c r="D413" s="16"/>
      <c r="E413" s="16"/>
      <c r="F413" s="16"/>
      <c r="G413" s="16"/>
      <c r="H413" s="16"/>
      <c r="I413" s="16"/>
      <c r="J413" s="16"/>
      <c r="K413" s="16"/>
      <c r="L413" s="16"/>
      <c r="M413" s="16"/>
      <c r="N413" s="16"/>
      <c r="O413" s="16"/>
      <c r="P413" s="16"/>
      <c r="Q413" s="16"/>
      <c r="R413" s="16"/>
      <c r="S413" s="16"/>
      <c r="T413" s="16"/>
      <c r="U413" s="17"/>
    </row>
    <row r="414" spans="2:21" x14ac:dyDescent="0.35">
      <c r="B414" s="24"/>
      <c r="C414" s="7"/>
      <c r="D414" s="16"/>
      <c r="E414" s="16"/>
      <c r="F414" s="16"/>
      <c r="G414" s="16"/>
      <c r="H414" s="16"/>
      <c r="I414" s="16"/>
      <c r="J414" s="16"/>
      <c r="K414" s="16"/>
      <c r="L414" s="16"/>
      <c r="M414" s="16"/>
      <c r="N414" s="16"/>
      <c r="O414" s="16"/>
      <c r="P414" s="16"/>
      <c r="Q414" s="16"/>
      <c r="R414" s="16"/>
      <c r="S414" s="16"/>
      <c r="T414" s="16"/>
      <c r="U414" s="17"/>
    </row>
    <row r="415" spans="2:21" x14ac:dyDescent="0.35">
      <c r="B415" s="24"/>
      <c r="C415" s="7"/>
      <c r="D415" s="16"/>
      <c r="E415" s="16"/>
      <c r="F415" s="16"/>
      <c r="G415" s="16"/>
      <c r="H415" s="16"/>
      <c r="I415" s="16"/>
      <c r="J415" s="16"/>
      <c r="K415" s="16"/>
      <c r="L415" s="16"/>
      <c r="M415" s="16"/>
      <c r="N415" s="16"/>
      <c r="O415" s="16"/>
      <c r="P415" s="16"/>
      <c r="Q415" s="16"/>
      <c r="R415" s="16"/>
      <c r="S415" s="16"/>
      <c r="T415" s="16"/>
      <c r="U415" s="17"/>
    </row>
    <row r="416" spans="2:21" x14ac:dyDescent="0.35">
      <c r="B416" s="24"/>
      <c r="C416" s="7"/>
      <c r="D416" s="16"/>
      <c r="E416" s="16"/>
      <c r="F416" s="16"/>
      <c r="G416" s="16"/>
      <c r="H416" s="16"/>
      <c r="I416" s="16"/>
      <c r="J416" s="16"/>
      <c r="K416" s="16"/>
      <c r="L416" s="16"/>
      <c r="M416" s="16"/>
      <c r="N416" s="16"/>
      <c r="O416" s="16"/>
      <c r="P416" s="16"/>
      <c r="Q416" s="16"/>
      <c r="R416" s="16"/>
      <c r="S416" s="16"/>
      <c r="T416" s="16"/>
      <c r="U416" s="17"/>
    </row>
    <row r="417" spans="2:21" x14ac:dyDescent="0.35">
      <c r="B417" s="24"/>
      <c r="C417" s="7"/>
      <c r="D417" s="16"/>
      <c r="E417" s="16"/>
      <c r="F417" s="16"/>
      <c r="G417" s="16"/>
      <c r="H417" s="16"/>
      <c r="I417" s="16"/>
      <c r="J417" s="16"/>
      <c r="K417" s="16"/>
      <c r="L417" s="16"/>
      <c r="M417" s="16"/>
      <c r="N417" s="16"/>
      <c r="O417" s="16"/>
      <c r="P417" s="16"/>
      <c r="Q417" s="16"/>
      <c r="R417" s="16"/>
      <c r="S417" s="16"/>
      <c r="T417" s="16"/>
      <c r="U417" s="17"/>
    </row>
    <row r="418" spans="2:21" x14ac:dyDescent="0.35">
      <c r="B418" s="24"/>
      <c r="C418" s="7"/>
      <c r="D418" s="16"/>
      <c r="E418" s="16"/>
      <c r="F418" s="16"/>
      <c r="G418" s="16"/>
      <c r="H418" s="16"/>
      <c r="I418" s="16"/>
      <c r="J418" s="16"/>
      <c r="K418" s="16"/>
      <c r="L418" s="16"/>
      <c r="M418" s="16"/>
      <c r="N418" s="16"/>
      <c r="O418" s="16"/>
      <c r="P418" s="16"/>
      <c r="Q418" s="16"/>
      <c r="R418" s="16"/>
      <c r="S418" s="16"/>
      <c r="T418" s="16"/>
      <c r="U418" s="17"/>
    </row>
    <row r="419" spans="2:21" x14ac:dyDescent="0.35">
      <c r="B419" s="24"/>
      <c r="C419" s="7"/>
      <c r="D419" s="16"/>
      <c r="E419" s="16"/>
      <c r="F419" s="16"/>
      <c r="G419" s="16"/>
      <c r="H419" s="16"/>
      <c r="I419" s="16"/>
      <c r="J419" s="16"/>
      <c r="K419" s="16"/>
      <c r="L419" s="16"/>
      <c r="M419" s="16"/>
      <c r="N419" s="16"/>
      <c r="O419" s="16"/>
      <c r="P419" s="16"/>
      <c r="Q419" s="16"/>
      <c r="R419" s="16"/>
      <c r="S419" s="16"/>
      <c r="T419" s="16"/>
      <c r="U419" s="17"/>
    </row>
    <row r="420" spans="2:21" x14ac:dyDescent="0.35">
      <c r="B420" s="24"/>
      <c r="C420" s="7"/>
      <c r="D420" s="16"/>
      <c r="E420" s="16"/>
      <c r="F420" s="16"/>
      <c r="G420" s="16"/>
      <c r="H420" s="16"/>
      <c r="I420" s="16"/>
      <c r="J420" s="16"/>
      <c r="K420" s="16"/>
      <c r="L420" s="16"/>
      <c r="M420" s="16"/>
      <c r="N420" s="16"/>
      <c r="O420" s="16"/>
      <c r="P420" s="16"/>
      <c r="Q420" s="16"/>
      <c r="R420" s="16"/>
      <c r="S420" s="16"/>
      <c r="T420" s="16"/>
      <c r="U420" s="17"/>
    </row>
    <row r="421" spans="2:21" x14ac:dyDescent="0.35">
      <c r="B421" s="24"/>
      <c r="C421" s="7"/>
      <c r="D421" s="16"/>
      <c r="E421" s="16"/>
      <c r="F421" s="16"/>
      <c r="G421" s="16"/>
      <c r="H421" s="16"/>
      <c r="I421" s="16"/>
      <c r="J421" s="16"/>
      <c r="K421" s="16"/>
      <c r="L421" s="16"/>
      <c r="M421" s="16"/>
      <c r="N421" s="16"/>
      <c r="O421" s="16"/>
      <c r="P421" s="16"/>
      <c r="Q421" s="16"/>
      <c r="R421" s="16"/>
      <c r="S421" s="16"/>
      <c r="T421" s="16"/>
      <c r="U421" s="17"/>
    </row>
    <row r="422" spans="2:21" x14ac:dyDescent="0.35">
      <c r="B422" s="24"/>
      <c r="C422" s="7"/>
      <c r="D422" s="16"/>
      <c r="E422" s="16"/>
      <c r="F422" s="16"/>
      <c r="G422" s="16"/>
      <c r="H422" s="16"/>
      <c r="I422" s="16"/>
      <c r="J422" s="16"/>
      <c r="K422" s="16"/>
      <c r="L422" s="16"/>
      <c r="M422" s="16"/>
      <c r="N422" s="16"/>
      <c r="O422" s="16"/>
      <c r="P422" s="16"/>
      <c r="Q422" s="16"/>
      <c r="R422" s="16"/>
      <c r="S422" s="16"/>
      <c r="T422" s="16"/>
      <c r="U422" s="17"/>
    </row>
    <row r="423" spans="2:21" x14ac:dyDescent="0.35">
      <c r="B423" s="24"/>
      <c r="C423" s="7"/>
      <c r="D423" s="16"/>
      <c r="E423" s="16"/>
      <c r="F423" s="16"/>
      <c r="G423" s="16"/>
      <c r="H423" s="16"/>
      <c r="I423" s="16"/>
      <c r="J423" s="16"/>
      <c r="K423" s="16"/>
      <c r="L423" s="16"/>
      <c r="M423" s="16"/>
      <c r="N423" s="16"/>
      <c r="O423" s="16"/>
      <c r="P423" s="16"/>
      <c r="Q423" s="16"/>
      <c r="R423" s="16"/>
      <c r="S423" s="16"/>
      <c r="T423" s="16"/>
      <c r="U423" s="17"/>
    </row>
    <row r="424" spans="2:21" x14ac:dyDescent="0.35">
      <c r="B424" s="24"/>
      <c r="C424" s="7"/>
      <c r="D424" s="16"/>
      <c r="E424" s="16"/>
      <c r="F424" s="16"/>
      <c r="G424" s="16"/>
      <c r="H424" s="16"/>
      <c r="I424" s="16"/>
      <c r="J424" s="16"/>
      <c r="K424" s="16"/>
      <c r="L424" s="16"/>
      <c r="M424" s="16"/>
      <c r="N424" s="16"/>
      <c r="O424" s="16"/>
      <c r="P424" s="16"/>
      <c r="Q424" s="16"/>
      <c r="R424" s="16"/>
      <c r="S424" s="16"/>
      <c r="T424" s="16"/>
      <c r="U424" s="17"/>
    </row>
    <row r="425" spans="2:21" x14ac:dyDescent="0.35">
      <c r="B425" s="24"/>
      <c r="C425" s="7"/>
      <c r="D425" s="16"/>
      <c r="E425" s="16"/>
      <c r="F425" s="16"/>
      <c r="G425" s="16"/>
      <c r="H425" s="16"/>
      <c r="I425" s="16"/>
      <c r="J425" s="16"/>
      <c r="K425" s="16"/>
      <c r="L425" s="16"/>
      <c r="M425" s="16"/>
      <c r="N425" s="16"/>
      <c r="O425" s="16"/>
      <c r="P425" s="16"/>
      <c r="Q425" s="16"/>
      <c r="R425" s="16"/>
      <c r="S425" s="16"/>
      <c r="T425" s="16"/>
      <c r="U425" s="17"/>
    </row>
    <row r="426" spans="2:21" x14ac:dyDescent="0.35">
      <c r="B426" s="24"/>
      <c r="C426" s="7"/>
      <c r="D426" s="16"/>
      <c r="E426" s="16"/>
      <c r="F426" s="16"/>
      <c r="G426" s="16"/>
      <c r="H426" s="16"/>
      <c r="I426" s="16"/>
      <c r="J426" s="16"/>
      <c r="K426" s="16"/>
      <c r="L426" s="16"/>
      <c r="M426" s="16"/>
      <c r="N426" s="16"/>
      <c r="O426" s="16"/>
      <c r="P426" s="16"/>
      <c r="Q426" s="16"/>
      <c r="R426" s="16"/>
      <c r="S426" s="16"/>
      <c r="T426" s="16"/>
      <c r="U426" s="17"/>
    </row>
    <row r="427" spans="2:21" x14ac:dyDescent="0.35">
      <c r="B427" s="24"/>
      <c r="C427" s="7"/>
      <c r="D427" s="16"/>
      <c r="E427" s="16"/>
      <c r="F427" s="16"/>
      <c r="G427" s="16"/>
      <c r="H427" s="16"/>
      <c r="I427" s="16"/>
      <c r="J427" s="16"/>
      <c r="K427" s="16"/>
      <c r="L427" s="16"/>
      <c r="M427" s="16"/>
      <c r="N427" s="16"/>
      <c r="O427" s="16"/>
      <c r="P427" s="16"/>
      <c r="Q427" s="16"/>
      <c r="R427" s="16"/>
      <c r="S427" s="16"/>
      <c r="T427" s="16"/>
      <c r="U427" s="17"/>
    </row>
    <row r="428" spans="2:21" x14ac:dyDescent="0.35">
      <c r="B428" s="24"/>
      <c r="C428" s="7"/>
      <c r="D428" s="16"/>
      <c r="E428" s="16"/>
      <c r="F428" s="16"/>
      <c r="G428" s="16"/>
      <c r="H428" s="16"/>
      <c r="I428" s="16"/>
      <c r="J428" s="16"/>
      <c r="K428" s="16"/>
      <c r="L428" s="16"/>
      <c r="M428" s="16"/>
      <c r="N428" s="16"/>
      <c r="O428" s="16"/>
      <c r="P428" s="16"/>
      <c r="Q428" s="16"/>
      <c r="R428" s="16"/>
      <c r="S428" s="16"/>
      <c r="T428" s="16"/>
      <c r="U428" s="17"/>
    </row>
    <row r="429" spans="2:21" x14ac:dyDescent="0.35">
      <c r="B429" s="24"/>
      <c r="C429" s="7"/>
      <c r="D429" s="16"/>
      <c r="E429" s="16"/>
      <c r="F429" s="16"/>
      <c r="G429" s="16"/>
      <c r="H429" s="16"/>
      <c r="I429" s="16"/>
      <c r="J429" s="16"/>
      <c r="K429" s="16"/>
      <c r="L429" s="16"/>
      <c r="M429" s="16"/>
      <c r="N429" s="16"/>
      <c r="O429" s="16"/>
      <c r="P429" s="16"/>
      <c r="Q429" s="16"/>
      <c r="R429" s="16"/>
      <c r="S429" s="16"/>
      <c r="T429" s="16"/>
      <c r="U429" s="17"/>
    </row>
    <row r="430" spans="2:21" x14ac:dyDescent="0.35">
      <c r="B430" s="24"/>
      <c r="C430" s="7"/>
      <c r="D430" s="16"/>
      <c r="E430" s="16"/>
      <c r="F430" s="16"/>
      <c r="G430" s="16"/>
      <c r="H430" s="16"/>
      <c r="I430" s="16"/>
      <c r="J430" s="16"/>
      <c r="K430" s="16"/>
      <c r="L430" s="16"/>
      <c r="M430" s="16"/>
      <c r="N430" s="16"/>
      <c r="O430" s="16"/>
      <c r="P430" s="16"/>
      <c r="Q430" s="16"/>
      <c r="R430" s="16"/>
      <c r="S430" s="16"/>
      <c r="T430" s="16"/>
      <c r="U430" s="17"/>
    </row>
    <row r="431" spans="2:21" x14ac:dyDescent="0.35">
      <c r="B431" s="24"/>
      <c r="C431" s="7"/>
      <c r="D431" s="16"/>
      <c r="E431" s="16"/>
      <c r="F431" s="16"/>
      <c r="G431" s="16"/>
      <c r="H431" s="16"/>
      <c r="I431" s="16"/>
      <c r="J431" s="16"/>
      <c r="K431" s="16"/>
      <c r="L431" s="16"/>
      <c r="M431" s="16"/>
      <c r="N431" s="16"/>
      <c r="O431" s="16"/>
      <c r="P431" s="16"/>
      <c r="Q431" s="16"/>
      <c r="R431" s="16"/>
      <c r="S431" s="16"/>
      <c r="T431" s="16"/>
      <c r="U431" s="17"/>
    </row>
    <row r="432" spans="2:21" x14ac:dyDescent="0.35">
      <c r="B432" s="24"/>
      <c r="C432" s="7"/>
      <c r="D432" s="16"/>
      <c r="E432" s="16"/>
      <c r="F432" s="16"/>
      <c r="G432" s="16"/>
      <c r="H432" s="16"/>
      <c r="I432" s="16"/>
      <c r="J432" s="16"/>
      <c r="K432" s="16"/>
      <c r="L432" s="16"/>
      <c r="M432" s="16"/>
      <c r="N432" s="16"/>
      <c r="O432" s="16"/>
      <c r="P432" s="16"/>
      <c r="Q432" s="16"/>
      <c r="R432" s="16"/>
      <c r="S432" s="16"/>
      <c r="T432" s="16"/>
      <c r="U432" s="17"/>
    </row>
    <row r="433" spans="2:21" x14ac:dyDescent="0.35">
      <c r="B433" s="24"/>
      <c r="C433" s="7"/>
      <c r="D433" s="16"/>
      <c r="E433" s="16"/>
      <c r="F433" s="16"/>
      <c r="G433" s="16"/>
      <c r="H433" s="16"/>
      <c r="I433" s="16"/>
      <c r="J433" s="16"/>
      <c r="K433" s="16"/>
      <c r="L433" s="16"/>
      <c r="M433" s="16"/>
      <c r="N433" s="16"/>
      <c r="O433" s="16"/>
      <c r="P433" s="16"/>
      <c r="Q433" s="16"/>
      <c r="R433" s="16"/>
      <c r="S433" s="16"/>
      <c r="T433" s="16"/>
      <c r="U433" s="17"/>
    </row>
    <row r="434" spans="2:21" x14ac:dyDescent="0.35">
      <c r="B434" s="24"/>
      <c r="C434" s="7"/>
      <c r="D434" s="16"/>
      <c r="E434" s="16"/>
      <c r="F434" s="16"/>
      <c r="G434" s="16"/>
      <c r="H434" s="16"/>
      <c r="I434" s="16"/>
      <c r="J434" s="16"/>
      <c r="K434" s="16"/>
      <c r="L434" s="16"/>
      <c r="M434" s="16"/>
      <c r="N434" s="16"/>
      <c r="O434" s="16"/>
      <c r="P434" s="16"/>
      <c r="Q434" s="16"/>
      <c r="R434" s="16"/>
      <c r="S434" s="16"/>
      <c r="T434" s="16"/>
      <c r="U434" s="17"/>
    </row>
    <row r="435" spans="2:21" x14ac:dyDescent="0.35">
      <c r="B435" s="24"/>
      <c r="C435" s="7"/>
      <c r="D435" s="16"/>
      <c r="E435" s="16"/>
      <c r="F435" s="16"/>
      <c r="G435" s="16"/>
      <c r="H435" s="16"/>
      <c r="I435" s="16"/>
      <c r="J435" s="16"/>
      <c r="K435" s="16"/>
      <c r="L435" s="16"/>
      <c r="M435" s="16"/>
      <c r="N435" s="16"/>
      <c r="O435" s="16"/>
      <c r="P435" s="16"/>
      <c r="Q435" s="16"/>
      <c r="R435" s="16"/>
      <c r="S435" s="16"/>
      <c r="T435" s="16"/>
      <c r="U435" s="17"/>
    </row>
    <row r="436" spans="2:21" x14ac:dyDescent="0.35">
      <c r="B436" s="24"/>
      <c r="C436" s="7"/>
      <c r="D436" s="16"/>
      <c r="E436" s="16"/>
      <c r="F436" s="16"/>
      <c r="G436" s="16"/>
      <c r="H436" s="16"/>
      <c r="I436" s="16"/>
      <c r="J436" s="16"/>
      <c r="K436" s="16"/>
      <c r="L436" s="16"/>
      <c r="M436" s="16"/>
      <c r="N436" s="16"/>
      <c r="O436" s="16"/>
      <c r="P436" s="16"/>
      <c r="Q436" s="16"/>
      <c r="R436" s="16"/>
      <c r="S436" s="16"/>
      <c r="T436" s="16"/>
      <c r="U436" s="17"/>
    </row>
    <row r="437" spans="2:21" x14ac:dyDescent="0.35">
      <c r="B437" s="24"/>
      <c r="C437" s="7"/>
      <c r="D437" s="16"/>
      <c r="E437" s="16"/>
      <c r="F437" s="16"/>
      <c r="G437" s="16"/>
      <c r="H437" s="16"/>
      <c r="I437" s="16"/>
      <c r="J437" s="16"/>
      <c r="K437" s="16"/>
      <c r="L437" s="16"/>
      <c r="M437" s="16"/>
      <c r="N437" s="16"/>
      <c r="O437" s="16"/>
      <c r="P437" s="16"/>
      <c r="Q437" s="16"/>
      <c r="R437" s="16"/>
      <c r="S437" s="16"/>
      <c r="T437" s="16"/>
      <c r="U437" s="17"/>
    </row>
    <row r="438" spans="2:21" x14ac:dyDescent="0.35">
      <c r="B438" s="24"/>
      <c r="C438" s="7"/>
      <c r="D438" s="16"/>
      <c r="E438" s="16"/>
      <c r="F438" s="16"/>
      <c r="G438" s="16"/>
      <c r="H438" s="16"/>
      <c r="I438" s="16"/>
      <c r="J438" s="16"/>
      <c r="K438" s="16"/>
      <c r="L438" s="16"/>
      <c r="M438" s="16"/>
      <c r="N438" s="16"/>
      <c r="O438" s="16"/>
      <c r="P438" s="16"/>
      <c r="Q438" s="16"/>
      <c r="R438" s="16"/>
      <c r="S438" s="16"/>
      <c r="T438" s="16"/>
      <c r="U438" s="17"/>
    </row>
    <row r="439" spans="2:21" x14ac:dyDescent="0.35">
      <c r="B439" s="24"/>
      <c r="C439" s="7"/>
      <c r="D439" s="16"/>
      <c r="E439" s="16"/>
      <c r="F439" s="16"/>
      <c r="G439" s="16"/>
      <c r="H439" s="16"/>
      <c r="I439" s="16"/>
      <c r="J439" s="16"/>
      <c r="K439" s="16"/>
      <c r="L439" s="16"/>
      <c r="M439" s="16"/>
      <c r="N439" s="16"/>
      <c r="O439" s="16"/>
      <c r="P439" s="16"/>
      <c r="Q439" s="16"/>
      <c r="R439" s="16"/>
      <c r="S439" s="16"/>
      <c r="T439" s="16"/>
      <c r="U439" s="17"/>
    </row>
    <row r="440" spans="2:21" x14ac:dyDescent="0.35">
      <c r="B440" s="24"/>
      <c r="C440" s="7"/>
      <c r="D440" s="16"/>
      <c r="E440" s="16"/>
      <c r="F440" s="16"/>
      <c r="G440" s="16"/>
      <c r="H440" s="16"/>
      <c r="I440" s="16"/>
      <c r="J440" s="16"/>
      <c r="K440" s="16"/>
      <c r="L440" s="16"/>
      <c r="M440" s="16"/>
      <c r="N440" s="16"/>
      <c r="O440" s="16"/>
      <c r="P440" s="16"/>
      <c r="Q440" s="16"/>
      <c r="R440" s="16"/>
      <c r="S440" s="16"/>
      <c r="T440" s="16"/>
      <c r="U440" s="17"/>
    </row>
    <row r="441" spans="2:21" x14ac:dyDescent="0.35">
      <c r="B441" s="24"/>
      <c r="C441" s="7"/>
      <c r="D441" s="16"/>
      <c r="E441" s="16"/>
      <c r="F441" s="16"/>
      <c r="G441" s="16"/>
      <c r="H441" s="16"/>
      <c r="I441" s="16"/>
      <c r="J441" s="16"/>
      <c r="K441" s="16"/>
      <c r="L441" s="16"/>
      <c r="M441" s="16"/>
      <c r="N441" s="16"/>
      <c r="O441" s="16"/>
      <c r="P441" s="16"/>
      <c r="Q441" s="16"/>
      <c r="R441" s="16"/>
      <c r="S441" s="16"/>
      <c r="T441" s="16"/>
      <c r="U441" s="17"/>
    </row>
    <row r="442" spans="2:21" x14ac:dyDescent="0.35">
      <c r="B442" s="24"/>
      <c r="C442" s="7"/>
      <c r="D442" s="16"/>
      <c r="E442" s="16"/>
      <c r="F442" s="16"/>
      <c r="G442" s="16"/>
      <c r="H442" s="16"/>
      <c r="I442" s="16"/>
      <c r="J442" s="16"/>
      <c r="K442" s="16"/>
      <c r="L442" s="16"/>
      <c r="M442" s="16"/>
      <c r="N442" s="16"/>
      <c r="O442" s="16"/>
      <c r="P442" s="16"/>
      <c r="Q442" s="16"/>
      <c r="R442" s="16"/>
      <c r="S442" s="16"/>
      <c r="T442" s="16"/>
      <c r="U442" s="17"/>
    </row>
    <row r="443" spans="2:21" x14ac:dyDescent="0.35">
      <c r="B443" s="24"/>
      <c r="C443" s="7"/>
      <c r="D443" s="16"/>
      <c r="E443" s="16"/>
      <c r="F443" s="16"/>
      <c r="G443" s="16"/>
      <c r="H443" s="16"/>
      <c r="I443" s="16"/>
      <c r="J443" s="16"/>
      <c r="K443" s="16"/>
      <c r="L443" s="16"/>
      <c r="M443" s="16"/>
      <c r="N443" s="16"/>
      <c r="O443" s="16"/>
      <c r="P443" s="16"/>
      <c r="Q443" s="16"/>
      <c r="R443" s="16"/>
      <c r="S443" s="16"/>
      <c r="T443" s="16"/>
      <c r="U443" s="17"/>
    </row>
    <row r="444" spans="2:21" x14ac:dyDescent="0.35">
      <c r="B444" s="24"/>
      <c r="C444" s="7"/>
      <c r="D444" s="16"/>
      <c r="E444" s="16"/>
      <c r="F444" s="16"/>
      <c r="G444" s="16"/>
      <c r="H444" s="16"/>
      <c r="I444" s="16"/>
      <c r="J444" s="16"/>
      <c r="K444" s="16"/>
      <c r="L444" s="16"/>
      <c r="M444" s="16"/>
      <c r="N444" s="16"/>
      <c r="O444" s="16"/>
      <c r="P444" s="16"/>
      <c r="Q444" s="16"/>
      <c r="R444" s="16"/>
      <c r="S444" s="16"/>
      <c r="T444" s="16"/>
      <c r="U444" s="17"/>
    </row>
    <row r="445" spans="2:21" x14ac:dyDescent="0.35">
      <c r="B445" s="24"/>
      <c r="C445" s="7"/>
      <c r="D445" s="16"/>
      <c r="E445" s="16"/>
      <c r="F445" s="16"/>
      <c r="G445" s="16"/>
      <c r="H445" s="16"/>
      <c r="I445" s="16"/>
      <c r="J445" s="16"/>
      <c r="K445" s="16"/>
      <c r="L445" s="16"/>
      <c r="M445" s="16"/>
      <c r="N445" s="16"/>
      <c r="O445" s="16"/>
      <c r="P445" s="16"/>
      <c r="Q445" s="16"/>
      <c r="R445" s="16"/>
      <c r="S445" s="16"/>
      <c r="T445" s="16"/>
      <c r="U445" s="17"/>
    </row>
    <row r="446" spans="2:21" x14ac:dyDescent="0.35">
      <c r="B446" s="24"/>
      <c r="C446" s="7"/>
      <c r="D446" s="16"/>
      <c r="E446" s="16"/>
      <c r="F446" s="16"/>
      <c r="G446" s="16"/>
      <c r="H446" s="16"/>
      <c r="I446" s="16"/>
      <c r="J446" s="16"/>
      <c r="K446" s="16"/>
      <c r="L446" s="16"/>
      <c r="M446" s="16"/>
      <c r="N446" s="16"/>
      <c r="O446" s="16"/>
      <c r="P446" s="16"/>
      <c r="Q446" s="16"/>
      <c r="R446" s="16"/>
      <c r="S446" s="16"/>
      <c r="T446" s="16"/>
      <c r="U446" s="17"/>
    </row>
    <row r="447" spans="2:21" x14ac:dyDescent="0.35">
      <c r="B447" s="24"/>
      <c r="C447" s="7"/>
      <c r="D447" s="16"/>
      <c r="E447" s="16"/>
      <c r="F447" s="16"/>
      <c r="G447" s="16"/>
      <c r="H447" s="16"/>
      <c r="I447" s="16"/>
      <c r="J447" s="16"/>
      <c r="K447" s="16"/>
      <c r="L447" s="16"/>
      <c r="M447" s="16"/>
      <c r="N447" s="16"/>
      <c r="O447" s="16"/>
      <c r="P447" s="16"/>
      <c r="Q447" s="16"/>
      <c r="R447" s="16"/>
      <c r="S447" s="16"/>
      <c r="T447" s="16"/>
      <c r="U447" s="17"/>
    </row>
    <row r="448" spans="2:21" x14ac:dyDescent="0.35">
      <c r="B448" s="24"/>
      <c r="C448" s="7"/>
      <c r="D448" s="16"/>
      <c r="E448" s="16"/>
      <c r="F448" s="16"/>
      <c r="G448" s="16"/>
      <c r="H448" s="16"/>
      <c r="I448" s="16"/>
      <c r="J448" s="16"/>
      <c r="K448" s="16"/>
      <c r="L448" s="16"/>
      <c r="M448" s="16"/>
      <c r="N448" s="16"/>
      <c r="O448" s="16"/>
      <c r="P448" s="16"/>
      <c r="Q448" s="16"/>
      <c r="R448" s="16"/>
      <c r="S448" s="16"/>
      <c r="T448" s="16"/>
      <c r="U448" s="17"/>
    </row>
    <row r="449" spans="2:21" x14ac:dyDescent="0.35">
      <c r="B449" s="24"/>
      <c r="C449" s="7"/>
      <c r="D449" s="16"/>
      <c r="E449" s="16"/>
      <c r="F449" s="16"/>
      <c r="G449" s="16"/>
      <c r="H449" s="16"/>
      <c r="I449" s="16"/>
      <c r="J449" s="16"/>
      <c r="K449" s="16"/>
      <c r="L449" s="16"/>
      <c r="M449" s="16"/>
      <c r="N449" s="16"/>
      <c r="O449" s="16"/>
      <c r="P449" s="16"/>
      <c r="Q449" s="16"/>
      <c r="R449" s="16"/>
      <c r="S449" s="16"/>
      <c r="T449" s="16"/>
      <c r="U449" s="17"/>
    </row>
    <row r="450" spans="2:21" x14ac:dyDescent="0.35">
      <c r="B450" s="24"/>
      <c r="C450" s="7"/>
      <c r="D450" s="16"/>
      <c r="E450" s="16"/>
      <c r="F450" s="16"/>
      <c r="G450" s="16"/>
      <c r="H450" s="16"/>
      <c r="I450" s="16"/>
      <c r="J450" s="16"/>
      <c r="K450" s="16"/>
      <c r="L450" s="16"/>
      <c r="M450" s="16"/>
      <c r="N450" s="16"/>
      <c r="O450" s="16"/>
      <c r="P450" s="16"/>
      <c r="Q450" s="16"/>
      <c r="R450" s="16"/>
      <c r="S450" s="16"/>
      <c r="T450" s="16"/>
      <c r="U450" s="17"/>
    </row>
    <row r="451" spans="2:21" x14ac:dyDescent="0.35">
      <c r="B451" s="24"/>
      <c r="C451" s="7"/>
      <c r="D451" s="16"/>
      <c r="E451" s="16"/>
      <c r="F451" s="16"/>
      <c r="G451" s="16"/>
      <c r="H451" s="16"/>
      <c r="I451" s="16"/>
      <c r="J451" s="16"/>
      <c r="K451" s="16"/>
      <c r="L451" s="16"/>
      <c r="M451" s="16"/>
      <c r="N451" s="16"/>
      <c r="O451" s="16"/>
      <c r="P451" s="16"/>
      <c r="Q451" s="16"/>
      <c r="R451" s="16"/>
      <c r="S451" s="16"/>
      <c r="T451" s="16"/>
      <c r="U451" s="17"/>
    </row>
    <row r="452" spans="2:21" x14ac:dyDescent="0.35">
      <c r="B452" s="24"/>
      <c r="C452" s="7"/>
      <c r="D452" s="16"/>
      <c r="E452" s="16"/>
      <c r="F452" s="16"/>
      <c r="G452" s="16"/>
      <c r="H452" s="16"/>
      <c r="I452" s="16"/>
      <c r="J452" s="16"/>
      <c r="K452" s="16"/>
      <c r="L452" s="16"/>
      <c r="M452" s="16"/>
      <c r="N452" s="16"/>
      <c r="O452" s="16"/>
      <c r="P452" s="16"/>
      <c r="Q452" s="16"/>
      <c r="R452" s="16"/>
      <c r="S452" s="16"/>
      <c r="T452" s="16"/>
      <c r="U452" s="17"/>
    </row>
    <row r="453" spans="2:21" x14ac:dyDescent="0.35">
      <c r="B453" s="24"/>
      <c r="C453" s="7"/>
      <c r="D453" s="16"/>
      <c r="E453" s="16"/>
      <c r="F453" s="16"/>
      <c r="G453" s="16"/>
      <c r="H453" s="16"/>
      <c r="I453" s="16"/>
      <c r="J453" s="16"/>
      <c r="K453" s="16"/>
      <c r="L453" s="16"/>
      <c r="M453" s="16"/>
      <c r="N453" s="16"/>
      <c r="O453" s="16"/>
      <c r="P453" s="16"/>
      <c r="Q453" s="16"/>
      <c r="R453" s="16"/>
      <c r="S453" s="16"/>
      <c r="T453" s="16"/>
      <c r="U453" s="17"/>
    </row>
    <row r="454" spans="2:21" x14ac:dyDescent="0.35">
      <c r="B454" s="24"/>
      <c r="C454" s="7"/>
      <c r="D454" s="16"/>
      <c r="E454" s="16"/>
      <c r="F454" s="16"/>
      <c r="G454" s="16"/>
      <c r="H454" s="16"/>
      <c r="I454" s="16"/>
      <c r="J454" s="16"/>
      <c r="K454" s="16"/>
      <c r="L454" s="16"/>
      <c r="M454" s="16"/>
      <c r="N454" s="16"/>
      <c r="O454" s="16"/>
      <c r="P454" s="16"/>
      <c r="Q454" s="16"/>
      <c r="R454" s="16"/>
      <c r="S454" s="16"/>
      <c r="T454" s="16"/>
      <c r="U454" s="17"/>
    </row>
    <row r="455" spans="2:21" x14ac:dyDescent="0.35">
      <c r="B455" s="24"/>
      <c r="C455" s="7"/>
      <c r="D455" s="16"/>
      <c r="E455" s="16"/>
      <c r="F455" s="16"/>
      <c r="G455" s="16"/>
      <c r="H455" s="16"/>
      <c r="I455" s="16"/>
      <c r="J455" s="16"/>
      <c r="K455" s="16"/>
      <c r="L455" s="16"/>
      <c r="M455" s="16"/>
      <c r="N455" s="16"/>
      <c r="O455" s="16"/>
      <c r="P455" s="16"/>
      <c r="Q455" s="16"/>
      <c r="R455" s="16"/>
      <c r="S455" s="16"/>
      <c r="T455" s="16"/>
      <c r="U455" s="17"/>
    </row>
    <row r="456" spans="2:21" x14ac:dyDescent="0.35">
      <c r="B456" s="24"/>
      <c r="C456" s="7"/>
      <c r="D456" s="16"/>
      <c r="E456" s="16"/>
      <c r="F456" s="16"/>
      <c r="G456" s="16"/>
      <c r="H456" s="16"/>
      <c r="I456" s="16"/>
      <c r="J456" s="16"/>
      <c r="K456" s="16"/>
      <c r="L456" s="16"/>
      <c r="M456" s="16"/>
      <c r="N456" s="16"/>
      <c r="O456" s="16"/>
      <c r="P456" s="16"/>
      <c r="Q456" s="16"/>
      <c r="R456" s="16"/>
      <c r="S456" s="16"/>
      <c r="T456" s="16"/>
      <c r="U456" s="17"/>
    </row>
    <row r="457" spans="2:21" x14ac:dyDescent="0.35">
      <c r="B457" s="24"/>
      <c r="C457" s="7"/>
      <c r="D457" s="16"/>
      <c r="E457" s="16"/>
      <c r="F457" s="16"/>
      <c r="G457" s="16"/>
      <c r="H457" s="16"/>
      <c r="I457" s="16"/>
      <c r="J457" s="16"/>
      <c r="K457" s="16"/>
      <c r="L457" s="16"/>
      <c r="M457" s="16"/>
      <c r="N457" s="16"/>
      <c r="O457" s="16"/>
      <c r="P457" s="16"/>
      <c r="Q457" s="16"/>
      <c r="R457" s="16"/>
      <c r="S457" s="16"/>
      <c r="T457" s="16"/>
      <c r="U457" s="17"/>
    </row>
    <row r="458" spans="2:21" x14ac:dyDescent="0.35">
      <c r="B458" s="24"/>
      <c r="C458" s="7"/>
      <c r="D458" s="16"/>
      <c r="E458" s="16"/>
      <c r="F458" s="16"/>
      <c r="G458" s="16"/>
      <c r="H458" s="16"/>
      <c r="I458" s="16"/>
      <c r="J458" s="16"/>
      <c r="K458" s="16"/>
      <c r="L458" s="16"/>
      <c r="M458" s="16"/>
      <c r="N458" s="16"/>
      <c r="O458" s="16"/>
      <c r="P458" s="16"/>
      <c r="Q458" s="16"/>
      <c r="R458" s="16"/>
      <c r="S458" s="16"/>
      <c r="T458" s="16"/>
      <c r="U458" s="17"/>
    </row>
    <row r="459" spans="2:21" x14ac:dyDescent="0.35">
      <c r="B459" s="24"/>
      <c r="C459" s="7"/>
      <c r="D459" s="16"/>
      <c r="E459" s="16"/>
      <c r="F459" s="16"/>
      <c r="G459" s="16"/>
      <c r="H459" s="16"/>
      <c r="I459" s="16"/>
      <c r="J459" s="16"/>
      <c r="K459" s="16"/>
      <c r="L459" s="16"/>
      <c r="M459" s="16"/>
      <c r="N459" s="16"/>
      <c r="O459" s="16"/>
      <c r="P459" s="16"/>
      <c r="Q459" s="16"/>
      <c r="R459" s="16"/>
      <c r="S459" s="16"/>
      <c r="T459" s="16"/>
      <c r="U459" s="17"/>
    </row>
    <row r="460" spans="2:21" x14ac:dyDescent="0.35">
      <c r="B460" s="24"/>
      <c r="C460" s="7"/>
      <c r="D460" s="16"/>
      <c r="E460" s="16"/>
      <c r="F460" s="16"/>
      <c r="G460" s="16"/>
      <c r="H460" s="16"/>
      <c r="I460" s="16"/>
      <c r="J460" s="16"/>
      <c r="K460" s="16"/>
      <c r="L460" s="16"/>
      <c r="M460" s="16"/>
      <c r="N460" s="16"/>
      <c r="O460" s="16"/>
      <c r="P460" s="16"/>
      <c r="Q460" s="16"/>
      <c r="R460" s="16"/>
      <c r="S460" s="16"/>
      <c r="T460" s="16"/>
      <c r="U460" s="17"/>
    </row>
    <row r="461" spans="2:21" x14ac:dyDescent="0.35">
      <c r="B461" s="24"/>
      <c r="C461" s="7"/>
      <c r="D461" s="16"/>
      <c r="E461" s="16"/>
      <c r="F461" s="16"/>
      <c r="G461" s="16"/>
      <c r="H461" s="16"/>
      <c r="I461" s="16"/>
      <c r="J461" s="16"/>
      <c r="K461" s="16"/>
      <c r="L461" s="16"/>
      <c r="M461" s="16"/>
      <c r="N461" s="16"/>
      <c r="O461" s="16"/>
      <c r="P461" s="16"/>
      <c r="Q461" s="16"/>
      <c r="R461" s="16"/>
      <c r="S461" s="16"/>
      <c r="T461" s="16"/>
      <c r="U461" s="17"/>
    </row>
    <row r="462" spans="2:21" x14ac:dyDescent="0.35">
      <c r="B462" s="24"/>
      <c r="C462" s="7"/>
      <c r="D462" s="16"/>
      <c r="E462" s="16"/>
      <c r="F462" s="16"/>
      <c r="G462" s="16"/>
      <c r="H462" s="16"/>
      <c r="I462" s="16"/>
      <c r="J462" s="16"/>
      <c r="K462" s="16"/>
      <c r="L462" s="16"/>
      <c r="M462" s="16"/>
      <c r="N462" s="16"/>
      <c r="O462" s="16"/>
      <c r="P462" s="16"/>
      <c r="Q462" s="16"/>
      <c r="R462" s="16"/>
      <c r="S462" s="16"/>
      <c r="T462" s="16"/>
      <c r="U462" s="17"/>
    </row>
    <row r="463" spans="2:21" x14ac:dyDescent="0.35">
      <c r="B463" s="24"/>
      <c r="C463" s="7"/>
      <c r="D463" s="16"/>
      <c r="E463" s="16"/>
      <c r="F463" s="16"/>
      <c r="G463" s="16"/>
      <c r="H463" s="16"/>
      <c r="I463" s="16"/>
      <c r="J463" s="16"/>
      <c r="K463" s="16"/>
      <c r="L463" s="16"/>
      <c r="M463" s="16"/>
      <c r="N463" s="16"/>
      <c r="O463" s="16"/>
      <c r="P463" s="16"/>
      <c r="Q463" s="16"/>
      <c r="R463" s="16"/>
      <c r="S463" s="16"/>
      <c r="T463" s="16"/>
      <c r="U463" s="17"/>
    </row>
    <row r="464" spans="2:21" x14ac:dyDescent="0.35">
      <c r="B464" s="24"/>
      <c r="C464" s="7"/>
      <c r="D464" s="16"/>
      <c r="E464" s="16"/>
      <c r="F464" s="16"/>
      <c r="G464" s="16"/>
      <c r="H464" s="16"/>
      <c r="I464" s="16"/>
      <c r="J464" s="16"/>
      <c r="K464" s="16"/>
      <c r="L464" s="16"/>
      <c r="M464" s="16"/>
      <c r="N464" s="16"/>
      <c r="O464" s="16"/>
      <c r="P464" s="16"/>
      <c r="Q464" s="16"/>
      <c r="R464" s="16"/>
      <c r="S464" s="16"/>
      <c r="T464" s="16"/>
      <c r="U464" s="17"/>
    </row>
    <row r="465" spans="2:21" x14ac:dyDescent="0.35">
      <c r="B465" s="24"/>
      <c r="C465" s="7"/>
      <c r="D465" s="16"/>
      <c r="E465" s="16"/>
      <c r="F465" s="16"/>
      <c r="G465" s="16"/>
      <c r="H465" s="16"/>
      <c r="I465" s="16"/>
      <c r="J465" s="16"/>
      <c r="K465" s="16"/>
      <c r="L465" s="16"/>
      <c r="M465" s="16"/>
      <c r="N465" s="16"/>
      <c r="O465" s="16"/>
      <c r="P465" s="16"/>
      <c r="Q465" s="16"/>
      <c r="R465" s="16"/>
      <c r="S465" s="16"/>
      <c r="T465" s="16"/>
      <c r="U465" s="17"/>
    </row>
    <row r="466" spans="2:21" x14ac:dyDescent="0.35">
      <c r="B466" s="24"/>
      <c r="C466" s="7"/>
      <c r="D466" s="16"/>
      <c r="E466" s="16"/>
      <c r="F466" s="16"/>
      <c r="G466" s="16"/>
      <c r="H466" s="16"/>
      <c r="I466" s="16"/>
      <c r="J466" s="16"/>
      <c r="K466" s="16"/>
      <c r="L466" s="16"/>
      <c r="M466" s="16"/>
      <c r="N466" s="16"/>
      <c r="O466" s="16"/>
      <c r="P466" s="16"/>
      <c r="Q466" s="16"/>
      <c r="R466" s="16"/>
      <c r="S466" s="16"/>
      <c r="T466" s="16"/>
      <c r="U466" s="17"/>
    </row>
    <row r="467" spans="2:21" x14ac:dyDescent="0.35">
      <c r="B467" s="24"/>
      <c r="C467" s="7"/>
      <c r="D467" s="16"/>
      <c r="E467" s="16"/>
      <c r="F467" s="16"/>
      <c r="G467" s="16"/>
      <c r="H467" s="16"/>
      <c r="I467" s="16"/>
      <c r="J467" s="16"/>
      <c r="K467" s="16"/>
      <c r="L467" s="16"/>
      <c r="M467" s="16"/>
      <c r="N467" s="16"/>
      <c r="O467" s="16"/>
      <c r="P467" s="16"/>
      <c r="Q467" s="16"/>
      <c r="R467" s="16"/>
      <c r="S467" s="16"/>
      <c r="T467" s="16"/>
      <c r="U467" s="17"/>
    </row>
    <row r="468" spans="2:21" x14ac:dyDescent="0.35">
      <c r="B468" s="24"/>
      <c r="C468" s="7"/>
      <c r="D468" s="16"/>
      <c r="E468" s="16"/>
      <c r="F468" s="16"/>
      <c r="G468" s="16"/>
      <c r="H468" s="16"/>
      <c r="I468" s="16"/>
      <c r="J468" s="16"/>
      <c r="K468" s="16"/>
      <c r="L468" s="16"/>
      <c r="M468" s="16"/>
      <c r="N468" s="16"/>
      <c r="O468" s="16"/>
      <c r="P468" s="16"/>
      <c r="Q468" s="16"/>
      <c r="R468" s="16"/>
      <c r="S468" s="16"/>
      <c r="T468" s="16"/>
      <c r="U468" s="17"/>
    </row>
    <row r="469" spans="2:21" x14ac:dyDescent="0.35">
      <c r="B469" s="24"/>
      <c r="C469" s="7"/>
      <c r="D469" s="16"/>
      <c r="E469" s="16"/>
      <c r="F469" s="16"/>
      <c r="G469" s="16"/>
      <c r="H469" s="16"/>
      <c r="I469" s="16"/>
      <c r="J469" s="16"/>
      <c r="K469" s="16"/>
      <c r="L469" s="16"/>
      <c r="M469" s="16"/>
      <c r="N469" s="16"/>
      <c r="O469" s="16"/>
      <c r="P469" s="16"/>
      <c r="Q469" s="16"/>
      <c r="R469" s="16"/>
      <c r="S469" s="16"/>
      <c r="T469" s="16"/>
      <c r="U469" s="17"/>
    </row>
    <row r="470" spans="2:21" x14ac:dyDescent="0.35">
      <c r="B470" s="24"/>
      <c r="C470" s="7"/>
      <c r="D470" s="16"/>
      <c r="E470" s="16"/>
      <c r="F470" s="16"/>
      <c r="G470" s="16"/>
      <c r="H470" s="16"/>
      <c r="I470" s="16"/>
      <c r="J470" s="16"/>
      <c r="K470" s="16"/>
      <c r="L470" s="16"/>
      <c r="M470" s="16"/>
      <c r="N470" s="16"/>
      <c r="O470" s="16"/>
      <c r="P470" s="16"/>
      <c r="Q470" s="16"/>
      <c r="R470" s="16"/>
      <c r="S470" s="16"/>
      <c r="T470" s="16"/>
      <c r="U470" s="17"/>
    </row>
    <row r="471" spans="2:21" x14ac:dyDescent="0.35">
      <c r="B471" s="24"/>
      <c r="C471" s="7"/>
      <c r="D471" s="16"/>
      <c r="E471" s="16"/>
      <c r="F471" s="16"/>
      <c r="G471" s="16"/>
      <c r="H471" s="16"/>
      <c r="I471" s="16"/>
      <c r="J471" s="16"/>
      <c r="K471" s="16"/>
      <c r="L471" s="16"/>
      <c r="M471" s="16"/>
      <c r="N471" s="16"/>
      <c r="O471" s="16"/>
      <c r="P471" s="16"/>
      <c r="Q471" s="16"/>
      <c r="R471" s="16"/>
      <c r="S471" s="16"/>
      <c r="T471" s="16"/>
      <c r="U471" s="17"/>
    </row>
    <row r="472" spans="2:21" x14ac:dyDescent="0.35">
      <c r="B472" s="24"/>
      <c r="C472" s="7"/>
      <c r="D472" s="16"/>
      <c r="E472" s="16"/>
      <c r="F472" s="16"/>
      <c r="G472" s="16"/>
      <c r="H472" s="16"/>
      <c r="I472" s="16"/>
      <c r="J472" s="16"/>
      <c r="K472" s="16"/>
      <c r="L472" s="16"/>
      <c r="M472" s="16"/>
      <c r="N472" s="16"/>
      <c r="O472" s="16"/>
      <c r="P472" s="16"/>
      <c r="Q472" s="16"/>
      <c r="R472" s="16"/>
      <c r="S472" s="16"/>
      <c r="T472" s="16"/>
      <c r="U472" s="17"/>
    </row>
    <row r="473" spans="2:21" x14ac:dyDescent="0.35">
      <c r="B473" s="24"/>
      <c r="C473" s="7"/>
      <c r="D473" s="16"/>
      <c r="E473" s="16"/>
      <c r="F473" s="16"/>
      <c r="G473" s="16"/>
      <c r="H473" s="16"/>
      <c r="I473" s="16"/>
      <c r="J473" s="16"/>
      <c r="K473" s="16"/>
      <c r="L473" s="16"/>
      <c r="M473" s="16"/>
      <c r="N473" s="16"/>
      <c r="O473" s="16"/>
      <c r="P473" s="16"/>
      <c r="Q473" s="16"/>
      <c r="R473" s="16"/>
      <c r="S473" s="16"/>
      <c r="T473" s="16"/>
      <c r="U473" s="17"/>
    </row>
    <row r="474" spans="2:21" x14ac:dyDescent="0.35">
      <c r="B474" s="24"/>
      <c r="C474" s="7"/>
      <c r="D474" s="16"/>
      <c r="E474" s="16"/>
      <c r="F474" s="16"/>
      <c r="G474" s="16"/>
      <c r="H474" s="16"/>
      <c r="I474" s="16"/>
      <c r="J474" s="16"/>
      <c r="K474" s="16"/>
      <c r="L474" s="16"/>
      <c r="M474" s="16"/>
      <c r="N474" s="16"/>
      <c r="O474" s="16"/>
      <c r="P474" s="16"/>
      <c r="Q474" s="16"/>
      <c r="R474" s="16"/>
      <c r="S474" s="16"/>
      <c r="T474" s="16"/>
      <c r="U474" s="17"/>
    </row>
    <row r="475" spans="2:21" x14ac:dyDescent="0.35">
      <c r="B475" s="24"/>
      <c r="C475" s="7"/>
      <c r="D475" s="16"/>
      <c r="E475" s="16"/>
      <c r="F475" s="16"/>
      <c r="G475" s="16"/>
      <c r="H475" s="16"/>
      <c r="I475" s="16"/>
      <c r="J475" s="16"/>
      <c r="K475" s="16"/>
      <c r="L475" s="16"/>
      <c r="M475" s="16"/>
      <c r="N475" s="16"/>
      <c r="O475" s="16"/>
      <c r="P475" s="16"/>
      <c r="Q475" s="16"/>
      <c r="R475" s="16"/>
      <c r="S475" s="16"/>
      <c r="T475" s="16"/>
      <c r="U475" s="17"/>
    </row>
    <row r="476" spans="2:21" x14ac:dyDescent="0.35">
      <c r="B476" s="24"/>
      <c r="C476" s="7"/>
      <c r="D476" s="16"/>
      <c r="E476" s="16"/>
      <c r="F476" s="16"/>
      <c r="G476" s="16"/>
      <c r="H476" s="16"/>
      <c r="I476" s="16"/>
      <c r="J476" s="16"/>
      <c r="K476" s="16"/>
      <c r="L476" s="16"/>
      <c r="M476" s="16"/>
      <c r="N476" s="16"/>
      <c r="O476" s="16"/>
      <c r="P476" s="16"/>
      <c r="Q476" s="16"/>
      <c r="R476" s="16"/>
      <c r="S476" s="16"/>
      <c r="T476" s="16"/>
      <c r="U476" s="17"/>
    </row>
    <row r="477" spans="2:21" x14ac:dyDescent="0.35">
      <c r="B477" s="24"/>
      <c r="C477" s="7"/>
      <c r="D477" s="16"/>
      <c r="E477" s="16"/>
      <c r="F477" s="16"/>
      <c r="G477" s="16"/>
      <c r="H477" s="16"/>
      <c r="I477" s="16"/>
      <c r="J477" s="16"/>
      <c r="K477" s="16"/>
      <c r="L477" s="16"/>
      <c r="M477" s="16"/>
      <c r="N477" s="16"/>
      <c r="O477" s="16"/>
      <c r="P477" s="16"/>
      <c r="Q477" s="16"/>
      <c r="R477" s="16"/>
      <c r="S477" s="16"/>
      <c r="T477" s="16"/>
      <c r="U477" s="17"/>
    </row>
    <row r="478" spans="2:21" x14ac:dyDescent="0.35">
      <c r="B478" s="24"/>
      <c r="C478" s="7"/>
      <c r="D478" s="16"/>
      <c r="E478" s="16"/>
      <c r="F478" s="16"/>
      <c r="G478" s="16"/>
      <c r="H478" s="16"/>
      <c r="I478" s="16"/>
      <c r="J478" s="16"/>
      <c r="K478" s="16"/>
      <c r="L478" s="16"/>
      <c r="M478" s="16"/>
      <c r="N478" s="16"/>
      <c r="O478" s="16"/>
      <c r="P478" s="16"/>
      <c r="Q478" s="16"/>
      <c r="R478" s="16"/>
      <c r="S478" s="16"/>
      <c r="T478" s="16"/>
      <c r="U478" s="17"/>
    </row>
    <row r="479" spans="2:21" x14ac:dyDescent="0.35">
      <c r="B479" s="24"/>
      <c r="C479" s="7"/>
      <c r="D479" s="16"/>
      <c r="E479" s="16"/>
      <c r="F479" s="16"/>
      <c r="G479" s="16"/>
      <c r="H479" s="16"/>
      <c r="I479" s="16"/>
      <c r="J479" s="16"/>
      <c r="K479" s="16"/>
      <c r="L479" s="16"/>
      <c r="M479" s="16"/>
      <c r="N479" s="16"/>
      <c r="O479" s="16"/>
      <c r="P479" s="16"/>
      <c r="Q479" s="16"/>
      <c r="R479" s="16"/>
      <c r="S479" s="16"/>
      <c r="T479" s="16"/>
      <c r="U479" s="17"/>
    </row>
    <row r="480" spans="2:21" x14ac:dyDescent="0.35">
      <c r="B480" s="24"/>
      <c r="C480" s="7"/>
      <c r="D480" s="16"/>
      <c r="E480" s="16"/>
      <c r="F480" s="16"/>
      <c r="G480" s="16"/>
      <c r="H480" s="16"/>
      <c r="I480" s="16"/>
      <c r="J480" s="16"/>
      <c r="K480" s="16"/>
      <c r="L480" s="16"/>
      <c r="M480" s="16"/>
      <c r="N480" s="16"/>
      <c r="O480" s="16"/>
      <c r="P480" s="16"/>
      <c r="Q480" s="16"/>
      <c r="R480" s="16"/>
      <c r="S480" s="16"/>
      <c r="T480" s="16"/>
      <c r="U480" s="17"/>
    </row>
    <row r="481" spans="2:21" x14ac:dyDescent="0.35">
      <c r="B481" s="24"/>
      <c r="C481" s="7"/>
      <c r="D481" s="16"/>
      <c r="E481" s="16"/>
      <c r="F481" s="16"/>
      <c r="G481" s="16"/>
      <c r="H481" s="16"/>
      <c r="I481" s="16"/>
      <c r="J481" s="16"/>
      <c r="K481" s="16"/>
      <c r="L481" s="16"/>
      <c r="M481" s="16"/>
      <c r="N481" s="16"/>
      <c r="O481" s="16"/>
      <c r="P481" s="16"/>
      <c r="Q481" s="16"/>
      <c r="R481" s="16"/>
      <c r="S481" s="16"/>
      <c r="T481" s="16"/>
      <c r="U481" s="17"/>
    </row>
    <row r="482" spans="2:21" x14ac:dyDescent="0.35">
      <c r="B482" s="24"/>
      <c r="C482" s="7"/>
      <c r="D482" s="16"/>
      <c r="E482" s="16"/>
      <c r="F482" s="16"/>
      <c r="G482" s="16"/>
      <c r="H482" s="16"/>
      <c r="I482" s="16"/>
      <c r="J482" s="16"/>
      <c r="K482" s="16"/>
      <c r="L482" s="16"/>
      <c r="M482" s="16"/>
      <c r="N482" s="16"/>
      <c r="O482" s="16"/>
      <c r="P482" s="16"/>
      <c r="Q482" s="16"/>
      <c r="R482" s="16"/>
      <c r="S482" s="16"/>
      <c r="T482" s="16"/>
      <c r="U482" s="17"/>
    </row>
    <row r="483" spans="2:21" x14ac:dyDescent="0.35">
      <c r="B483" s="24"/>
      <c r="C483" s="7"/>
      <c r="D483" s="16"/>
      <c r="E483" s="16"/>
      <c r="F483" s="16"/>
      <c r="G483" s="16"/>
      <c r="H483" s="16"/>
      <c r="I483" s="16"/>
      <c r="J483" s="16"/>
      <c r="K483" s="16"/>
      <c r="L483" s="16"/>
      <c r="M483" s="16"/>
      <c r="N483" s="16"/>
      <c r="O483" s="16"/>
      <c r="P483" s="16"/>
      <c r="Q483" s="16"/>
      <c r="R483" s="16"/>
      <c r="S483" s="16"/>
      <c r="T483" s="16"/>
      <c r="U483" s="17"/>
    </row>
    <row r="484" spans="2:21" x14ac:dyDescent="0.35">
      <c r="B484" s="24"/>
      <c r="C484" s="7"/>
      <c r="D484" s="16"/>
      <c r="E484" s="16"/>
      <c r="F484" s="16"/>
      <c r="G484" s="16"/>
      <c r="H484" s="16"/>
      <c r="I484" s="16"/>
      <c r="J484" s="16"/>
      <c r="K484" s="16"/>
      <c r="L484" s="16"/>
      <c r="M484" s="16"/>
      <c r="N484" s="16"/>
      <c r="O484" s="16"/>
      <c r="P484" s="16"/>
      <c r="Q484" s="16"/>
      <c r="R484" s="16"/>
      <c r="S484" s="16"/>
      <c r="T484" s="16"/>
      <c r="U484" s="17"/>
    </row>
    <row r="485" spans="2:21" x14ac:dyDescent="0.35">
      <c r="B485" s="24"/>
      <c r="C485" s="7"/>
      <c r="D485" s="16"/>
      <c r="E485" s="16"/>
      <c r="F485" s="16"/>
      <c r="G485" s="16"/>
      <c r="H485" s="16"/>
      <c r="I485" s="16"/>
      <c r="J485" s="16"/>
      <c r="K485" s="16"/>
      <c r="L485" s="16"/>
      <c r="M485" s="16"/>
      <c r="N485" s="16"/>
      <c r="O485" s="16"/>
      <c r="P485" s="16"/>
      <c r="Q485" s="16"/>
      <c r="R485" s="16"/>
      <c r="S485" s="16"/>
      <c r="T485" s="16"/>
      <c r="U485" s="17"/>
    </row>
    <row r="486" spans="2:21" x14ac:dyDescent="0.35">
      <c r="B486" s="24"/>
      <c r="C486" s="7"/>
      <c r="D486" s="16"/>
      <c r="E486" s="16"/>
      <c r="F486" s="16"/>
      <c r="G486" s="16"/>
      <c r="H486" s="16"/>
      <c r="I486" s="16"/>
      <c r="J486" s="16"/>
      <c r="K486" s="16"/>
      <c r="L486" s="16"/>
      <c r="M486" s="16"/>
      <c r="N486" s="16"/>
      <c r="O486" s="16"/>
      <c r="P486" s="16"/>
      <c r="Q486" s="16"/>
      <c r="R486" s="16"/>
      <c r="S486" s="16"/>
      <c r="T486" s="16"/>
      <c r="U486" s="17"/>
    </row>
    <row r="487" spans="2:21" x14ac:dyDescent="0.35">
      <c r="B487" s="24"/>
      <c r="C487" s="7"/>
      <c r="D487" s="16"/>
      <c r="E487" s="16"/>
      <c r="F487" s="16"/>
      <c r="G487" s="16"/>
      <c r="H487" s="16"/>
      <c r="I487" s="16"/>
      <c r="J487" s="16"/>
      <c r="K487" s="16"/>
      <c r="L487" s="16"/>
      <c r="M487" s="16"/>
      <c r="N487" s="16"/>
      <c r="O487" s="16"/>
      <c r="P487" s="16"/>
      <c r="Q487" s="16"/>
      <c r="R487" s="16"/>
      <c r="S487" s="16"/>
      <c r="T487" s="16"/>
      <c r="U487" s="17"/>
    </row>
    <row r="488" spans="2:21" x14ac:dyDescent="0.35">
      <c r="B488" s="24"/>
      <c r="C488" s="7"/>
      <c r="D488" s="16"/>
      <c r="E488" s="16"/>
      <c r="F488" s="16"/>
      <c r="G488" s="16"/>
      <c r="H488" s="16"/>
      <c r="I488" s="16"/>
      <c r="J488" s="16"/>
      <c r="K488" s="16"/>
      <c r="L488" s="16"/>
      <c r="M488" s="16"/>
      <c r="N488" s="16"/>
      <c r="O488" s="16"/>
      <c r="P488" s="16"/>
      <c r="Q488" s="16"/>
      <c r="R488" s="16"/>
      <c r="S488" s="16"/>
      <c r="T488" s="16"/>
      <c r="U488" s="17"/>
    </row>
    <row r="489" spans="2:21" x14ac:dyDescent="0.35">
      <c r="B489" s="24"/>
      <c r="C489" s="7"/>
      <c r="D489" s="16"/>
      <c r="E489" s="16"/>
      <c r="F489" s="16"/>
      <c r="G489" s="16"/>
      <c r="H489" s="16"/>
      <c r="I489" s="16"/>
      <c r="J489" s="16"/>
      <c r="K489" s="16"/>
      <c r="L489" s="16"/>
      <c r="M489" s="16"/>
      <c r="N489" s="16"/>
      <c r="O489" s="16"/>
      <c r="P489" s="16"/>
      <c r="Q489" s="16"/>
      <c r="R489" s="16"/>
      <c r="S489" s="16"/>
      <c r="T489" s="16"/>
      <c r="U489" s="17"/>
    </row>
    <row r="490" spans="2:21" x14ac:dyDescent="0.35">
      <c r="B490" s="24"/>
      <c r="C490" s="7"/>
      <c r="D490" s="16"/>
      <c r="E490" s="16"/>
      <c r="F490" s="16"/>
      <c r="G490" s="16"/>
      <c r="H490" s="16"/>
      <c r="I490" s="16"/>
      <c r="J490" s="16"/>
      <c r="K490" s="16"/>
      <c r="L490" s="16"/>
      <c r="M490" s="16"/>
      <c r="N490" s="16"/>
      <c r="O490" s="16"/>
      <c r="P490" s="16"/>
      <c r="Q490" s="16"/>
      <c r="R490" s="16"/>
      <c r="S490" s="16"/>
      <c r="T490" s="16"/>
      <c r="U490" s="17"/>
    </row>
    <row r="491" spans="2:21" x14ac:dyDescent="0.35">
      <c r="B491" s="24"/>
      <c r="C491" s="7"/>
      <c r="D491" s="16"/>
      <c r="E491" s="16"/>
      <c r="F491" s="16"/>
      <c r="G491" s="16"/>
      <c r="H491" s="16"/>
      <c r="I491" s="16"/>
      <c r="J491" s="16"/>
      <c r="K491" s="16"/>
      <c r="L491" s="16"/>
      <c r="M491" s="16"/>
      <c r="N491" s="16"/>
      <c r="O491" s="16"/>
      <c r="P491" s="16"/>
      <c r="Q491" s="16"/>
      <c r="R491" s="16"/>
      <c r="S491" s="16"/>
      <c r="T491" s="16"/>
      <c r="U491" s="17"/>
    </row>
    <row r="492" spans="2:21" x14ac:dyDescent="0.35">
      <c r="B492" s="24"/>
      <c r="C492" s="7"/>
      <c r="D492" s="16"/>
      <c r="E492" s="16"/>
      <c r="F492" s="16"/>
      <c r="G492" s="16"/>
      <c r="H492" s="16"/>
      <c r="I492" s="16"/>
      <c r="J492" s="16"/>
      <c r="K492" s="16"/>
      <c r="L492" s="16"/>
      <c r="M492" s="16"/>
      <c r="N492" s="16"/>
      <c r="O492" s="16"/>
      <c r="P492" s="16"/>
      <c r="Q492" s="16"/>
      <c r="R492" s="16"/>
      <c r="S492" s="16"/>
      <c r="T492" s="16"/>
      <c r="U492" s="17"/>
    </row>
    <row r="493" spans="2:21" x14ac:dyDescent="0.35">
      <c r="B493" s="24"/>
      <c r="C493" s="7"/>
      <c r="D493" s="16"/>
      <c r="E493" s="16"/>
      <c r="F493" s="16"/>
      <c r="G493" s="16"/>
      <c r="H493" s="16"/>
      <c r="I493" s="16"/>
      <c r="J493" s="16"/>
      <c r="K493" s="16"/>
      <c r="L493" s="16"/>
      <c r="M493" s="16"/>
      <c r="N493" s="16"/>
      <c r="O493" s="16"/>
      <c r="P493" s="16"/>
      <c r="Q493" s="16"/>
      <c r="R493" s="16"/>
      <c r="S493" s="16"/>
      <c r="T493" s="16"/>
      <c r="U493" s="17"/>
    </row>
    <row r="494" spans="2:21" x14ac:dyDescent="0.35">
      <c r="B494" s="24"/>
      <c r="C494" s="7"/>
      <c r="D494" s="16"/>
      <c r="E494" s="16"/>
      <c r="F494" s="16"/>
      <c r="G494" s="16"/>
      <c r="H494" s="16"/>
      <c r="I494" s="16"/>
      <c r="J494" s="16"/>
      <c r="K494" s="16"/>
      <c r="L494" s="16"/>
      <c r="M494" s="16"/>
      <c r="N494" s="16"/>
      <c r="O494" s="16"/>
      <c r="P494" s="16"/>
      <c r="Q494" s="16"/>
      <c r="R494" s="16"/>
      <c r="S494" s="16"/>
      <c r="T494" s="16"/>
      <c r="U494" s="17"/>
    </row>
    <row r="495" spans="2:21" x14ac:dyDescent="0.35">
      <c r="B495" s="24"/>
      <c r="C495" s="7"/>
      <c r="D495" s="16"/>
      <c r="E495" s="16"/>
      <c r="F495" s="16"/>
      <c r="G495" s="16"/>
      <c r="H495" s="16"/>
      <c r="I495" s="16"/>
      <c r="J495" s="16"/>
      <c r="K495" s="16"/>
      <c r="L495" s="16"/>
      <c r="M495" s="16"/>
      <c r="N495" s="16"/>
      <c r="O495" s="16"/>
      <c r="P495" s="16"/>
      <c r="Q495" s="16"/>
      <c r="R495" s="16"/>
      <c r="S495" s="16"/>
      <c r="T495" s="16"/>
      <c r="U495" s="17"/>
    </row>
    <row r="496" spans="2:21" x14ac:dyDescent="0.35">
      <c r="B496" s="24"/>
      <c r="C496" s="7"/>
      <c r="D496" s="16"/>
      <c r="E496" s="16"/>
      <c r="F496" s="16"/>
      <c r="G496" s="16"/>
      <c r="H496" s="16"/>
      <c r="I496" s="16"/>
      <c r="J496" s="16"/>
      <c r="K496" s="16"/>
      <c r="L496" s="16"/>
      <c r="M496" s="16"/>
      <c r="N496" s="16"/>
      <c r="O496" s="16"/>
      <c r="P496" s="16"/>
      <c r="Q496" s="16"/>
      <c r="R496" s="16"/>
      <c r="S496" s="16"/>
      <c r="T496" s="16"/>
      <c r="U496" s="17"/>
    </row>
    <row r="497" spans="2:21" x14ac:dyDescent="0.35">
      <c r="B497" s="24"/>
      <c r="C497" s="7"/>
      <c r="D497" s="16"/>
      <c r="E497" s="16"/>
      <c r="F497" s="16"/>
      <c r="G497" s="16"/>
      <c r="H497" s="16"/>
      <c r="I497" s="16"/>
      <c r="J497" s="16"/>
      <c r="K497" s="16"/>
      <c r="L497" s="16"/>
      <c r="M497" s="16"/>
      <c r="N497" s="16"/>
      <c r="O497" s="16"/>
      <c r="P497" s="16"/>
      <c r="Q497" s="16"/>
      <c r="R497" s="16"/>
      <c r="S497" s="16"/>
      <c r="T497" s="16"/>
      <c r="U497" s="17"/>
    </row>
    <row r="498" spans="2:21" x14ac:dyDescent="0.35">
      <c r="B498" s="24"/>
      <c r="C498" s="7"/>
      <c r="D498" s="16"/>
      <c r="E498" s="16"/>
      <c r="F498" s="16"/>
      <c r="G498" s="16"/>
      <c r="H498" s="16"/>
      <c r="I498" s="16"/>
      <c r="J498" s="16"/>
      <c r="K498" s="16"/>
      <c r="L498" s="16"/>
      <c r="M498" s="16"/>
      <c r="N498" s="16"/>
      <c r="O498" s="16"/>
      <c r="P498" s="16"/>
      <c r="Q498" s="16"/>
      <c r="R498" s="16"/>
      <c r="S498" s="16"/>
      <c r="T498" s="16"/>
      <c r="U498" s="17"/>
    </row>
    <row r="499" spans="2:21" x14ac:dyDescent="0.35">
      <c r="B499" s="24"/>
      <c r="C499" s="7"/>
      <c r="D499" s="16"/>
      <c r="E499" s="16"/>
      <c r="F499" s="16"/>
      <c r="G499" s="16"/>
      <c r="H499" s="16"/>
      <c r="I499" s="16"/>
      <c r="J499" s="16"/>
      <c r="K499" s="16"/>
      <c r="L499" s="16"/>
      <c r="M499" s="16"/>
      <c r="N499" s="16"/>
      <c r="O499" s="16"/>
      <c r="P499" s="16"/>
      <c r="Q499" s="16"/>
      <c r="R499" s="16"/>
      <c r="S499" s="16"/>
      <c r="T499" s="16"/>
      <c r="U499" s="17"/>
    </row>
    <row r="500" spans="2:21" x14ac:dyDescent="0.35">
      <c r="B500" s="24"/>
      <c r="C500" s="7"/>
      <c r="D500" s="16"/>
      <c r="E500" s="16"/>
      <c r="F500" s="16"/>
      <c r="G500" s="16"/>
      <c r="H500" s="16"/>
      <c r="I500" s="16"/>
      <c r="J500" s="16"/>
      <c r="K500" s="16"/>
      <c r="L500" s="16"/>
      <c r="M500" s="16"/>
      <c r="N500" s="16"/>
      <c r="O500" s="16"/>
      <c r="P500" s="16"/>
      <c r="Q500" s="16"/>
      <c r="R500" s="16"/>
      <c r="S500" s="16"/>
      <c r="T500" s="16"/>
      <c r="U500" s="17"/>
    </row>
    <row r="501" spans="2:21" x14ac:dyDescent="0.35">
      <c r="B501" s="24"/>
      <c r="C501" s="7"/>
      <c r="D501" s="16"/>
      <c r="E501" s="16"/>
      <c r="F501" s="16"/>
      <c r="G501" s="16"/>
      <c r="H501" s="16"/>
      <c r="I501" s="16"/>
      <c r="J501" s="16"/>
      <c r="K501" s="16"/>
      <c r="L501" s="16"/>
      <c r="M501" s="16"/>
      <c r="N501" s="16"/>
      <c r="O501" s="16"/>
      <c r="P501" s="16"/>
      <c r="Q501" s="16"/>
      <c r="R501" s="16"/>
      <c r="S501" s="16"/>
      <c r="T501" s="16"/>
      <c r="U501" s="17"/>
    </row>
    <row r="502" spans="2:21" x14ac:dyDescent="0.35">
      <c r="B502" s="24"/>
      <c r="C502" s="7"/>
      <c r="D502" s="16"/>
      <c r="E502" s="16"/>
      <c r="F502" s="16"/>
      <c r="G502" s="16"/>
      <c r="H502" s="16"/>
      <c r="I502" s="16"/>
      <c r="J502" s="16"/>
      <c r="K502" s="16"/>
      <c r="L502" s="16"/>
      <c r="M502" s="16"/>
      <c r="N502" s="16"/>
      <c r="O502" s="16"/>
      <c r="P502" s="16"/>
      <c r="Q502" s="16"/>
      <c r="R502" s="16"/>
      <c r="S502" s="16"/>
      <c r="T502" s="16"/>
      <c r="U502" s="17"/>
    </row>
    <row r="503" spans="2:21" x14ac:dyDescent="0.35">
      <c r="B503" s="24"/>
      <c r="C503" s="7"/>
      <c r="D503" s="16"/>
      <c r="E503" s="16"/>
      <c r="F503" s="16"/>
      <c r="G503" s="16"/>
      <c r="H503" s="16"/>
      <c r="I503" s="16"/>
      <c r="J503" s="16"/>
      <c r="K503" s="16"/>
      <c r="L503" s="16"/>
      <c r="M503" s="16"/>
      <c r="N503" s="16"/>
      <c r="O503" s="16"/>
      <c r="P503" s="16"/>
      <c r="Q503" s="16"/>
      <c r="R503" s="16"/>
      <c r="S503" s="16"/>
      <c r="T503" s="16"/>
      <c r="U503" s="17"/>
    </row>
    <row r="504" spans="2:21" x14ac:dyDescent="0.35">
      <c r="B504" s="24"/>
      <c r="C504" s="7"/>
      <c r="D504" s="16"/>
      <c r="E504" s="16"/>
      <c r="F504" s="16"/>
      <c r="G504" s="16"/>
      <c r="H504" s="16"/>
      <c r="I504" s="16"/>
      <c r="J504" s="16"/>
      <c r="K504" s="16"/>
      <c r="L504" s="16"/>
      <c r="M504" s="16"/>
      <c r="N504" s="16"/>
      <c r="O504" s="16"/>
      <c r="P504" s="16"/>
      <c r="Q504" s="16"/>
      <c r="R504" s="16"/>
      <c r="S504" s="16"/>
      <c r="T504" s="16"/>
      <c r="U504" s="17"/>
    </row>
    <row r="505" spans="2:21" x14ac:dyDescent="0.35">
      <c r="B505" s="24"/>
      <c r="C505" s="7"/>
      <c r="D505" s="16"/>
      <c r="E505" s="16"/>
      <c r="F505" s="16"/>
      <c r="G505" s="16"/>
      <c r="H505" s="16"/>
      <c r="I505" s="16"/>
      <c r="J505" s="16"/>
      <c r="K505" s="16"/>
      <c r="L505" s="16"/>
      <c r="M505" s="16"/>
      <c r="N505" s="16"/>
      <c r="O505" s="16"/>
      <c r="P505" s="16"/>
      <c r="Q505" s="16"/>
      <c r="R505" s="16"/>
      <c r="S505" s="16"/>
      <c r="T505" s="16"/>
      <c r="U505" s="17"/>
    </row>
    <row r="506" spans="2:21" x14ac:dyDescent="0.35">
      <c r="B506" s="24"/>
      <c r="C506" s="7"/>
      <c r="D506" s="16"/>
      <c r="E506" s="16"/>
      <c r="F506" s="16"/>
      <c r="G506" s="16"/>
      <c r="H506" s="16"/>
      <c r="I506" s="16"/>
      <c r="J506" s="16"/>
      <c r="K506" s="16"/>
      <c r="L506" s="16"/>
      <c r="M506" s="16"/>
      <c r="N506" s="16"/>
      <c r="O506" s="16"/>
      <c r="P506" s="16"/>
      <c r="Q506" s="16"/>
      <c r="R506" s="16"/>
      <c r="S506" s="16"/>
      <c r="T506" s="16"/>
      <c r="U506" s="17"/>
    </row>
    <row r="507" spans="2:21" x14ac:dyDescent="0.35">
      <c r="B507" s="24"/>
      <c r="C507" s="7"/>
      <c r="D507" s="16"/>
      <c r="E507" s="16"/>
      <c r="F507" s="16"/>
      <c r="G507" s="16"/>
      <c r="H507" s="16"/>
      <c r="I507" s="16"/>
      <c r="J507" s="16"/>
      <c r="K507" s="16"/>
      <c r="L507" s="16"/>
      <c r="M507" s="16"/>
      <c r="N507" s="16"/>
      <c r="O507" s="16"/>
      <c r="P507" s="16"/>
      <c r="Q507" s="16"/>
      <c r="R507" s="16"/>
      <c r="S507" s="16"/>
      <c r="T507" s="16"/>
      <c r="U507" s="17"/>
    </row>
    <row r="508" spans="2:21" x14ac:dyDescent="0.35">
      <c r="B508" s="24"/>
      <c r="C508" s="7"/>
      <c r="D508" s="16"/>
      <c r="E508" s="16"/>
      <c r="F508" s="16"/>
      <c r="G508" s="16"/>
      <c r="H508" s="16"/>
      <c r="I508" s="16"/>
      <c r="J508" s="16"/>
      <c r="K508" s="16"/>
      <c r="L508" s="16"/>
      <c r="M508" s="16"/>
      <c r="N508" s="16"/>
      <c r="O508" s="16"/>
      <c r="P508" s="16"/>
      <c r="Q508" s="16"/>
      <c r="R508" s="16"/>
      <c r="S508" s="16"/>
      <c r="T508" s="16"/>
      <c r="U508" s="17"/>
    </row>
    <row r="509" spans="2:21" x14ac:dyDescent="0.35">
      <c r="B509" s="24"/>
      <c r="C509" s="7"/>
      <c r="D509" s="16"/>
      <c r="E509" s="16"/>
      <c r="F509" s="16"/>
      <c r="G509" s="16"/>
      <c r="H509" s="16"/>
      <c r="I509" s="16"/>
      <c r="J509" s="16"/>
      <c r="K509" s="16"/>
      <c r="L509" s="16"/>
      <c r="M509" s="16"/>
      <c r="N509" s="16"/>
      <c r="O509" s="16"/>
      <c r="P509" s="16"/>
      <c r="Q509" s="16"/>
      <c r="R509" s="16"/>
      <c r="S509" s="16"/>
      <c r="T509" s="16"/>
      <c r="U509" s="17"/>
    </row>
    <row r="510" spans="2:21" x14ac:dyDescent="0.35">
      <c r="B510" s="24"/>
      <c r="C510" s="7"/>
      <c r="D510" s="16"/>
      <c r="E510" s="16"/>
      <c r="F510" s="16"/>
      <c r="G510" s="16"/>
      <c r="H510" s="16"/>
      <c r="I510" s="16"/>
      <c r="J510" s="16"/>
      <c r="K510" s="16"/>
      <c r="L510" s="16"/>
      <c r="M510" s="16"/>
      <c r="N510" s="16"/>
      <c r="O510" s="16"/>
      <c r="P510" s="16"/>
      <c r="Q510" s="16"/>
      <c r="R510" s="16"/>
      <c r="S510" s="16"/>
      <c r="T510" s="16"/>
      <c r="U510" s="17"/>
    </row>
    <row r="511" spans="2:21" x14ac:dyDescent="0.35">
      <c r="B511" s="24"/>
      <c r="C511" s="7"/>
      <c r="D511" s="16"/>
      <c r="E511" s="16"/>
      <c r="F511" s="16"/>
      <c r="G511" s="16"/>
      <c r="H511" s="16"/>
      <c r="I511" s="16"/>
      <c r="J511" s="16"/>
      <c r="K511" s="16"/>
      <c r="L511" s="16"/>
      <c r="M511" s="16"/>
      <c r="N511" s="16"/>
      <c r="O511" s="16"/>
      <c r="P511" s="16"/>
      <c r="Q511" s="16"/>
      <c r="R511" s="16"/>
      <c r="S511" s="16"/>
      <c r="T511" s="16"/>
      <c r="U511" s="17"/>
    </row>
    <row r="512" spans="2:21" x14ac:dyDescent="0.35">
      <c r="B512" s="24"/>
      <c r="C512" s="7"/>
      <c r="D512" s="16"/>
      <c r="E512" s="16"/>
      <c r="F512" s="16"/>
      <c r="G512" s="16"/>
      <c r="H512" s="16"/>
      <c r="I512" s="16"/>
      <c r="J512" s="16"/>
      <c r="K512" s="16"/>
      <c r="L512" s="16"/>
      <c r="M512" s="16"/>
      <c r="N512" s="16"/>
      <c r="O512" s="16"/>
      <c r="P512" s="16"/>
      <c r="Q512" s="16"/>
      <c r="R512" s="16"/>
      <c r="S512" s="16"/>
      <c r="T512" s="16"/>
      <c r="U512" s="17"/>
    </row>
    <row r="513" spans="2:21" x14ac:dyDescent="0.35">
      <c r="B513" s="24"/>
      <c r="C513" s="7"/>
      <c r="D513" s="16"/>
      <c r="E513" s="16"/>
      <c r="F513" s="16"/>
      <c r="G513" s="16"/>
      <c r="H513" s="16"/>
      <c r="I513" s="16"/>
      <c r="J513" s="16"/>
      <c r="K513" s="16"/>
      <c r="L513" s="16"/>
      <c r="M513" s="16"/>
      <c r="N513" s="16"/>
      <c r="O513" s="16"/>
      <c r="P513" s="16"/>
      <c r="Q513" s="16"/>
      <c r="R513" s="16"/>
      <c r="S513" s="16"/>
      <c r="T513" s="16"/>
      <c r="U513" s="17"/>
    </row>
    <row r="514" spans="2:21" x14ac:dyDescent="0.35">
      <c r="B514" s="24"/>
      <c r="C514" s="7"/>
      <c r="D514" s="16"/>
      <c r="E514" s="16"/>
      <c r="F514" s="16"/>
      <c r="G514" s="16"/>
      <c r="H514" s="16"/>
      <c r="I514" s="16"/>
      <c r="J514" s="16"/>
      <c r="K514" s="16"/>
      <c r="L514" s="16"/>
      <c r="M514" s="16"/>
      <c r="N514" s="16"/>
      <c r="O514" s="16"/>
      <c r="P514" s="16"/>
      <c r="Q514" s="16"/>
      <c r="R514" s="16"/>
      <c r="S514" s="16"/>
      <c r="T514" s="16"/>
      <c r="U514" s="17"/>
    </row>
    <row r="515" spans="2:21" x14ac:dyDescent="0.35">
      <c r="B515" s="24"/>
      <c r="C515" s="7"/>
      <c r="D515" s="16"/>
      <c r="E515" s="16"/>
      <c r="F515" s="16"/>
      <c r="G515" s="16"/>
      <c r="H515" s="16"/>
      <c r="I515" s="16"/>
      <c r="J515" s="16"/>
      <c r="K515" s="16"/>
      <c r="L515" s="16"/>
      <c r="M515" s="16"/>
      <c r="N515" s="16"/>
      <c r="O515" s="16"/>
      <c r="P515" s="16"/>
      <c r="Q515" s="16"/>
      <c r="R515" s="16"/>
      <c r="S515" s="16"/>
      <c r="T515" s="16"/>
      <c r="U515" s="17"/>
    </row>
    <row r="516" spans="2:21" x14ac:dyDescent="0.35">
      <c r="B516" s="24"/>
      <c r="C516" s="7"/>
      <c r="D516" s="16"/>
      <c r="E516" s="16"/>
      <c r="F516" s="16"/>
      <c r="G516" s="16"/>
      <c r="H516" s="16"/>
      <c r="I516" s="16"/>
      <c r="J516" s="16"/>
      <c r="K516" s="16"/>
      <c r="L516" s="16"/>
      <c r="M516" s="16"/>
      <c r="N516" s="16"/>
      <c r="O516" s="16"/>
      <c r="P516" s="16"/>
      <c r="Q516" s="16"/>
      <c r="R516" s="16"/>
      <c r="S516" s="16"/>
      <c r="T516" s="16"/>
      <c r="U516" s="17"/>
    </row>
    <row r="517" spans="2:21" x14ac:dyDescent="0.35">
      <c r="B517" s="24"/>
      <c r="C517" s="7"/>
      <c r="D517" s="16"/>
      <c r="E517" s="16"/>
      <c r="F517" s="16"/>
      <c r="G517" s="16"/>
      <c r="H517" s="16"/>
      <c r="I517" s="16"/>
      <c r="J517" s="16"/>
      <c r="K517" s="16"/>
      <c r="L517" s="16"/>
      <c r="M517" s="16"/>
      <c r="N517" s="16"/>
      <c r="O517" s="16"/>
      <c r="P517" s="16"/>
      <c r="Q517" s="16"/>
      <c r="R517" s="16"/>
      <c r="S517" s="16"/>
      <c r="T517" s="16"/>
      <c r="U517" s="17"/>
    </row>
    <row r="518" spans="2:21" x14ac:dyDescent="0.35">
      <c r="B518" s="24"/>
      <c r="C518" s="7"/>
      <c r="D518" s="16"/>
      <c r="E518" s="16"/>
      <c r="F518" s="16"/>
      <c r="G518" s="16"/>
      <c r="H518" s="16"/>
      <c r="I518" s="16"/>
      <c r="J518" s="16"/>
      <c r="K518" s="16"/>
      <c r="L518" s="16"/>
      <c r="M518" s="16"/>
      <c r="N518" s="16"/>
      <c r="O518" s="16"/>
      <c r="P518" s="16"/>
      <c r="Q518" s="16"/>
      <c r="R518" s="16"/>
      <c r="S518" s="16"/>
      <c r="T518" s="16"/>
      <c r="U518" s="17"/>
    </row>
    <row r="519" spans="2:21" x14ac:dyDescent="0.35">
      <c r="B519" s="24"/>
      <c r="C519" s="7"/>
      <c r="D519" s="16"/>
      <c r="E519" s="16"/>
      <c r="F519" s="16"/>
      <c r="G519" s="16"/>
      <c r="H519" s="16"/>
      <c r="I519" s="16"/>
      <c r="J519" s="16"/>
      <c r="K519" s="16"/>
      <c r="L519" s="16"/>
      <c r="M519" s="16"/>
      <c r="N519" s="16"/>
      <c r="O519" s="16"/>
      <c r="P519" s="16"/>
      <c r="Q519" s="16"/>
      <c r="R519" s="16"/>
      <c r="S519" s="16"/>
      <c r="T519" s="16"/>
      <c r="U519" s="17"/>
    </row>
    <row r="520" spans="2:21" x14ac:dyDescent="0.35">
      <c r="B520" s="24"/>
      <c r="C520" s="7"/>
      <c r="D520" s="16"/>
      <c r="E520" s="16"/>
      <c r="F520" s="16"/>
      <c r="G520" s="16"/>
      <c r="H520" s="16"/>
      <c r="I520" s="16"/>
      <c r="J520" s="16"/>
      <c r="K520" s="16"/>
      <c r="L520" s="16"/>
      <c r="M520" s="16"/>
      <c r="N520" s="16"/>
      <c r="O520" s="16"/>
      <c r="P520" s="16"/>
      <c r="Q520" s="16"/>
      <c r="R520" s="16"/>
      <c r="S520" s="16"/>
      <c r="T520" s="16"/>
      <c r="U520" s="17"/>
    </row>
    <row r="521" spans="2:21" x14ac:dyDescent="0.35">
      <c r="B521" s="24"/>
      <c r="C521" s="7"/>
      <c r="D521" s="16"/>
      <c r="E521" s="16"/>
      <c r="F521" s="16"/>
      <c r="G521" s="16"/>
      <c r="H521" s="16"/>
      <c r="I521" s="16"/>
      <c r="J521" s="16"/>
      <c r="K521" s="16"/>
      <c r="L521" s="16"/>
      <c r="M521" s="16"/>
      <c r="N521" s="16"/>
      <c r="O521" s="16"/>
      <c r="P521" s="16"/>
      <c r="Q521" s="16"/>
      <c r="R521" s="16"/>
      <c r="S521" s="16"/>
      <c r="T521" s="16"/>
      <c r="U521" s="17"/>
    </row>
    <row r="522" spans="2:21" x14ac:dyDescent="0.35">
      <c r="B522" s="24"/>
      <c r="C522" s="7"/>
      <c r="D522" s="16"/>
      <c r="E522" s="16"/>
      <c r="F522" s="16"/>
      <c r="G522" s="16"/>
      <c r="H522" s="16"/>
      <c r="I522" s="16"/>
      <c r="J522" s="16"/>
      <c r="K522" s="16"/>
      <c r="L522" s="16"/>
      <c r="M522" s="16"/>
      <c r="N522" s="16"/>
      <c r="O522" s="16"/>
      <c r="P522" s="16"/>
      <c r="Q522" s="16"/>
      <c r="R522" s="16"/>
      <c r="S522" s="16"/>
      <c r="T522" s="16"/>
      <c r="U522" s="17"/>
    </row>
    <row r="523" spans="2:21" x14ac:dyDescent="0.35">
      <c r="B523" s="24"/>
      <c r="C523" s="7"/>
      <c r="D523" s="16"/>
      <c r="E523" s="16"/>
      <c r="F523" s="16"/>
      <c r="G523" s="16"/>
      <c r="H523" s="16"/>
      <c r="I523" s="16"/>
      <c r="J523" s="16"/>
      <c r="K523" s="16"/>
      <c r="L523" s="16"/>
      <c r="M523" s="16"/>
      <c r="N523" s="16"/>
      <c r="O523" s="16"/>
      <c r="P523" s="16"/>
      <c r="Q523" s="16"/>
      <c r="R523" s="16"/>
      <c r="S523" s="16"/>
      <c r="T523" s="16"/>
      <c r="U523" s="17"/>
    </row>
    <row r="524" spans="2:21" x14ac:dyDescent="0.35">
      <c r="B524" s="24"/>
      <c r="C524" s="7"/>
      <c r="D524" s="16"/>
      <c r="E524" s="16"/>
      <c r="F524" s="16"/>
      <c r="G524" s="16"/>
      <c r="H524" s="16"/>
      <c r="I524" s="16"/>
      <c r="J524" s="16"/>
      <c r="K524" s="16"/>
      <c r="L524" s="16"/>
      <c r="M524" s="16"/>
      <c r="N524" s="16"/>
      <c r="O524" s="16"/>
      <c r="P524" s="16"/>
      <c r="Q524" s="16"/>
      <c r="R524" s="16"/>
      <c r="S524" s="16"/>
      <c r="T524" s="16"/>
      <c r="U524" s="17"/>
    </row>
    <row r="525" spans="2:21" x14ac:dyDescent="0.35">
      <c r="B525" s="24"/>
      <c r="C525" s="7"/>
      <c r="D525" s="16"/>
      <c r="E525" s="16"/>
      <c r="F525" s="16"/>
      <c r="G525" s="16"/>
      <c r="H525" s="16"/>
      <c r="I525" s="16"/>
      <c r="J525" s="16"/>
      <c r="K525" s="16"/>
      <c r="L525" s="16"/>
      <c r="M525" s="16"/>
      <c r="N525" s="16"/>
      <c r="O525" s="16"/>
      <c r="P525" s="16"/>
      <c r="Q525" s="16"/>
      <c r="R525" s="16"/>
      <c r="S525" s="16"/>
      <c r="T525" s="16"/>
      <c r="U525" s="17"/>
    </row>
    <row r="526" spans="2:21" x14ac:dyDescent="0.35">
      <c r="B526" s="24"/>
      <c r="C526" s="7"/>
      <c r="D526" s="16"/>
      <c r="E526" s="16"/>
      <c r="F526" s="16"/>
      <c r="G526" s="16"/>
      <c r="H526" s="16"/>
      <c r="I526" s="16"/>
      <c r="J526" s="16"/>
      <c r="K526" s="16"/>
      <c r="L526" s="16"/>
      <c r="M526" s="16"/>
      <c r="N526" s="16"/>
      <c r="O526" s="16"/>
      <c r="P526" s="16"/>
      <c r="Q526" s="16"/>
      <c r="R526" s="16"/>
      <c r="S526" s="16"/>
      <c r="T526" s="16"/>
      <c r="U526" s="17"/>
    </row>
    <row r="527" spans="2:21" x14ac:dyDescent="0.35">
      <c r="B527" s="24"/>
      <c r="C527" s="7"/>
      <c r="D527" s="16"/>
      <c r="E527" s="16"/>
      <c r="F527" s="16"/>
      <c r="G527" s="16"/>
      <c r="H527" s="16"/>
      <c r="I527" s="16"/>
      <c r="J527" s="16"/>
      <c r="K527" s="16"/>
      <c r="L527" s="16"/>
      <c r="M527" s="16"/>
      <c r="N527" s="16"/>
      <c r="O527" s="16"/>
      <c r="P527" s="16"/>
      <c r="Q527" s="16"/>
      <c r="R527" s="16"/>
      <c r="S527" s="16"/>
      <c r="T527" s="16"/>
      <c r="U527" s="17"/>
    </row>
    <row r="528" spans="2:21" x14ac:dyDescent="0.35">
      <c r="B528" s="24"/>
      <c r="C528" s="7"/>
      <c r="D528" s="16"/>
      <c r="E528" s="16"/>
      <c r="F528" s="16"/>
      <c r="G528" s="16"/>
      <c r="H528" s="16"/>
      <c r="I528" s="16"/>
      <c r="J528" s="16"/>
      <c r="K528" s="16"/>
      <c r="L528" s="16"/>
      <c r="M528" s="16"/>
      <c r="N528" s="16"/>
      <c r="O528" s="16"/>
      <c r="P528" s="16"/>
      <c r="Q528" s="16"/>
      <c r="R528" s="16"/>
      <c r="S528" s="16"/>
      <c r="T528" s="16"/>
      <c r="U528" s="17"/>
    </row>
    <row r="529" spans="2:21" x14ac:dyDescent="0.35">
      <c r="B529" s="24"/>
      <c r="C529" s="7"/>
      <c r="D529" s="16"/>
      <c r="E529" s="16"/>
      <c r="F529" s="16"/>
      <c r="G529" s="16"/>
      <c r="H529" s="16"/>
      <c r="I529" s="16"/>
      <c r="J529" s="16"/>
      <c r="K529" s="16"/>
      <c r="L529" s="16"/>
      <c r="M529" s="16"/>
      <c r="N529" s="16"/>
      <c r="O529" s="16"/>
      <c r="P529" s="16"/>
      <c r="Q529" s="16"/>
      <c r="R529" s="16"/>
      <c r="S529" s="16"/>
      <c r="T529" s="16"/>
      <c r="U529" s="17"/>
    </row>
    <row r="530" spans="2:21" x14ac:dyDescent="0.35">
      <c r="B530" s="24"/>
      <c r="C530" s="7"/>
      <c r="D530" s="16"/>
      <c r="E530" s="16"/>
      <c r="F530" s="16"/>
      <c r="G530" s="16"/>
      <c r="H530" s="16"/>
      <c r="I530" s="16"/>
      <c r="J530" s="16"/>
      <c r="K530" s="16"/>
      <c r="L530" s="16"/>
      <c r="M530" s="16"/>
      <c r="N530" s="16"/>
      <c r="O530" s="16"/>
      <c r="P530" s="16"/>
      <c r="Q530" s="16"/>
      <c r="R530" s="16"/>
      <c r="S530" s="16"/>
      <c r="T530" s="16"/>
      <c r="U530" s="17"/>
    </row>
    <row r="531" spans="2:21" x14ac:dyDescent="0.35">
      <c r="B531" s="24"/>
      <c r="C531" s="7"/>
      <c r="D531" s="16"/>
      <c r="E531" s="16"/>
      <c r="F531" s="16"/>
      <c r="G531" s="16"/>
      <c r="H531" s="16"/>
      <c r="I531" s="16"/>
      <c r="J531" s="16"/>
      <c r="K531" s="16"/>
      <c r="L531" s="16"/>
      <c r="M531" s="16"/>
      <c r="N531" s="16"/>
      <c r="O531" s="16"/>
      <c r="P531" s="16"/>
      <c r="Q531" s="16"/>
      <c r="R531" s="16"/>
      <c r="S531" s="16"/>
      <c r="T531" s="16"/>
      <c r="U531" s="17"/>
    </row>
    <row r="532" spans="2:21" x14ac:dyDescent="0.35">
      <c r="D532" s="17"/>
      <c r="E532" s="17"/>
      <c r="F532" s="17"/>
      <c r="G532" s="17"/>
      <c r="H532" s="17"/>
      <c r="I532" s="17"/>
      <c r="J532" s="17"/>
      <c r="K532" s="17"/>
      <c r="L532" s="17"/>
      <c r="M532" s="17"/>
      <c r="N532" s="17"/>
      <c r="O532" s="17"/>
      <c r="P532" s="17"/>
      <c r="Q532" s="17"/>
      <c r="R532" s="17"/>
      <c r="S532" s="17"/>
      <c r="T532" s="17"/>
      <c r="U532" s="17"/>
    </row>
    <row r="533" spans="2:21" x14ac:dyDescent="0.35">
      <c r="D533" s="17"/>
      <c r="E533" s="17"/>
      <c r="F533" s="17"/>
      <c r="G533" s="17"/>
      <c r="H533" s="17"/>
      <c r="I533" s="17"/>
      <c r="J533" s="17"/>
      <c r="K533" s="17"/>
      <c r="L533" s="17"/>
      <c r="M533" s="17"/>
      <c r="N533" s="17"/>
      <c r="O533" s="17"/>
      <c r="P533" s="17"/>
      <c r="Q533" s="17"/>
      <c r="R533" s="17"/>
      <c r="S533" s="17"/>
      <c r="T533" s="17"/>
      <c r="U533" s="17"/>
    </row>
    <row r="534" spans="2:21" x14ac:dyDescent="0.35">
      <c r="D534" s="17"/>
      <c r="E534" s="17"/>
      <c r="F534" s="17"/>
      <c r="G534" s="17"/>
      <c r="H534" s="17"/>
      <c r="I534" s="17"/>
      <c r="J534" s="17"/>
      <c r="K534" s="17"/>
      <c r="L534" s="17"/>
      <c r="M534" s="17"/>
      <c r="N534" s="17"/>
      <c r="O534" s="17"/>
      <c r="P534" s="17"/>
      <c r="Q534" s="17"/>
      <c r="R534" s="17"/>
      <c r="S534" s="17"/>
      <c r="T534" s="17"/>
      <c r="U534" s="17"/>
    </row>
    <row r="535" spans="2:21" x14ac:dyDescent="0.35">
      <c r="D535" s="17"/>
      <c r="E535" s="17"/>
      <c r="F535" s="17"/>
      <c r="G535" s="17"/>
      <c r="H535" s="17"/>
      <c r="I535" s="17"/>
      <c r="J535" s="17"/>
      <c r="K535" s="17"/>
      <c r="L535" s="17"/>
      <c r="M535" s="17"/>
      <c r="N535" s="17"/>
      <c r="O535" s="17"/>
      <c r="P535" s="17"/>
      <c r="Q535" s="17"/>
      <c r="R535" s="17"/>
      <c r="S535" s="17"/>
      <c r="T535" s="17"/>
      <c r="U535" s="17"/>
    </row>
    <row r="536" spans="2:21" x14ac:dyDescent="0.35">
      <c r="D536" s="17"/>
      <c r="E536" s="17"/>
      <c r="F536" s="17"/>
      <c r="G536" s="17"/>
      <c r="H536" s="17"/>
      <c r="I536" s="17"/>
      <c r="J536" s="17"/>
      <c r="K536" s="17"/>
      <c r="L536" s="17"/>
      <c r="M536" s="17"/>
      <c r="N536" s="17"/>
      <c r="O536" s="17"/>
      <c r="P536" s="17"/>
      <c r="Q536" s="17"/>
      <c r="R536" s="17"/>
      <c r="S536" s="17"/>
      <c r="T536" s="17"/>
      <c r="U536" s="17"/>
    </row>
    <row r="537" spans="2:21" x14ac:dyDescent="0.35">
      <c r="D537" s="17"/>
      <c r="E537" s="17"/>
      <c r="F537" s="17"/>
      <c r="G537" s="17"/>
      <c r="H537" s="17"/>
      <c r="I537" s="17"/>
      <c r="J537" s="17"/>
      <c r="K537" s="17"/>
      <c r="L537" s="17"/>
      <c r="M537" s="17"/>
      <c r="N537" s="17"/>
      <c r="O537" s="17"/>
      <c r="P537" s="17"/>
      <c r="Q537" s="17"/>
      <c r="R537" s="17"/>
      <c r="S537" s="17"/>
      <c r="T537" s="17"/>
      <c r="U537" s="17"/>
    </row>
    <row r="538" spans="2:21" x14ac:dyDescent="0.35">
      <c r="D538" s="17"/>
      <c r="E538" s="17"/>
      <c r="F538" s="17"/>
      <c r="G538" s="17"/>
      <c r="H538" s="17"/>
      <c r="I538" s="17"/>
      <c r="J538" s="17"/>
      <c r="K538" s="17"/>
      <c r="L538" s="17"/>
      <c r="M538" s="17"/>
      <c r="N538" s="17"/>
      <c r="O538" s="17"/>
      <c r="P538" s="17"/>
      <c r="Q538" s="17"/>
      <c r="R538" s="17"/>
      <c r="S538" s="17"/>
      <c r="T538" s="17"/>
      <c r="U538" s="17"/>
    </row>
    <row r="539" spans="2:21" x14ac:dyDescent="0.35">
      <c r="D539" s="17"/>
      <c r="E539" s="17"/>
      <c r="F539" s="17"/>
      <c r="G539" s="17"/>
      <c r="H539" s="17"/>
      <c r="I539" s="17"/>
      <c r="J539" s="17"/>
      <c r="K539" s="17"/>
      <c r="L539" s="17"/>
      <c r="M539" s="17"/>
      <c r="N539" s="17"/>
      <c r="O539" s="17"/>
      <c r="P539" s="17"/>
      <c r="Q539" s="17"/>
      <c r="R539" s="17"/>
      <c r="S539" s="17"/>
      <c r="T539" s="17"/>
      <c r="U539" s="17"/>
    </row>
    <row r="540" spans="2:21" x14ac:dyDescent="0.35">
      <c r="D540" s="17"/>
      <c r="E540" s="17"/>
      <c r="F540" s="17"/>
      <c r="G540" s="17"/>
      <c r="H540" s="17"/>
      <c r="I540" s="17"/>
      <c r="J540" s="17"/>
      <c r="K540" s="17"/>
      <c r="L540" s="17"/>
      <c r="M540" s="17"/>
      <c r="N540" s="17"/>
      <c r="O540" s="17"/>
      <c r="P540" s="17"/>
      <c r="Q540" s="17"/>
      <c r="R540" s="17"/>
      <c r="S540" s="17"/>
      <c r="T540" s="17"/>
      <c r="U540" s="17"/>
    </row>
    <row r="541" spans="2:21" x14ac:dyDescent="0.35">
      <c r="D541" s="17"/>
      <c r="E541" s="17"/>
      <c r="F541" s="17"/>
      <c r="G541" s="17"/>
      <c r="H541" s="17"/>
      <c r="I541" s="17"/>
      <c r="J541" s="17"/>
      <c r="K541" s="17"/>
      <c r="L541" s="17"/>
      <c r="M541" s="17"/>
      <c r="N541" s="17"/>
      <c r="O541" s="17"/>
      <c r="P541" s="17"/>
      <c r="Q541" s="17"/>
      <c r="R541" s="17"/>
      <c r="S541" s="17"/>
      <c r="T541" s="17"/>
      <c r="U541" s="17"/>
    </row>
    <row r="542" spans="2:21" x14ac:dyDescent="0.35">
      <c r="D542" s="17"/>
      <c r="E542" s="17"/>
      <c r="F542" s="17"/>
      <c r="G542" s="17"/>
      <c r="H542" s="17"/>
      <c r="I542" s="17"/>
      <c r="J542" s="17"/>
      <c r="K542" s="17"/>
      <c r="L542" s="17"/>
      <c r="M542" s="17"/>
      <c r="N542" s="17"/>
      <c r="O542" s="17"/>
      <c r="P542" s="17"/>
      <c r="Q542" s="17"/>
      <c r="R542" s="17"/>
      <c r="S542" s="17"/>
      <c r="T542" s="17"/>
      <c r="U542" s="17"/>
    </row>
    <row r="543" spans="2:21" x14ac:dyDescent="0.35">
      <c r="D543" s="17"/>
      <c r="E543" s="17"/>
      <c r="F543" s="17"/>
      <c r="G543" s="17"/>
      <c r="H543" s="17"/>
      <c r="I543" s="17"/>
      <c r="J543" s="17"/>
      <c r="K543" s="17"/>
      <c r="L543" s="17"/>
      <c r="M543" s="17"/>
      <c r="N543" s="17"/>
      <c r="O543" s="17"/>
      <c r="P543" s="17"/>
      <c r="Q543" s="17"/>
      <c r="R543" s="17"/>
      <c r="S543" s="17"/>
      <c r="T543" s="17"/>
      <c r="U543" s="17"/>
    </row>
    <row r="544" spans="2:21" x14ac:dyDescent="0.35">
      <c r="D544" s="17"/>
      <c r="E544" s="17"/>
      <c r="F544" s="17"/>
      <c r="G544" s="17"/>
      <c r="H544" s="17"/>
      <c r="I544" s="17"/>
      <c r="J544" s="17"/>
      <c r="K544" s="17"/>
      <c r="L544" s="17"/>
      <c r="M544" s="17"/>
      <c r="N544" s="17"/>
      <c r="O544" s="17"/>
      <c r="P544" s="17"/>
      <c r="Q544" s="17"/>
      <c r="R544" s="17"/>
      <c r="S544" s="17"/>
      <c r="T544" s="17"/>
      <c r="U544" s="17"/>
    </row>
    <row r="545" spans="4:21" x14ac:dyDescent="0.35">
      <c r="D545" s="17"/>
      <c r="E545" s="17"/>
      <c r="F545" s="17"/>
      <c r="G545" s="17"/>
      <c r="H545" s="17"/>
      <c r="I545" s="17"/>
      <c r="J545" s="17"/>
      <c r="K545" s="17"/>
      <c r="L545" s="17"/>
      <c r="M545" s="17"/>
      <c r="N545" s="17"/>
      <c r="O545" s="17"/>
      <c r="P545" s="17"/>
      <c r="Q545" s="17"/>
      <c r="R545" s="17"/>
      <c r="S545" s="17"/>
      <c r="T545" s="17"/>
      <c r="U545" s="17"/>
    </row>
    <row r="546" spans="4:21" x14ac:dyDescent="0.35">
      <c r="D546" s="17"/>
      <c r="E546" s="17"/>
      <c r="F546" s="17"/>
      <c r="G546" s="17"/>
      <c r="H546" s="17"/>
      <c r="I546" s="17"/>
      <c r="J546" s="17"/>
      <c r="K546" s="17"/>
      <c r="L546" s="17"/>
      <c r="M546" s="17"/>
      <c r="N546" s="17"/>
      <c r="O546" s="17"/>
      <c r="P546" s="17"/>
      <c r="Q546" s="17"/>
      <c r="R546" s="17"/>
      <c r="S546" s="17"/>
      <c r="T546" s="17"/>
      <c r="U546" s="17"/>
    </row>
    <row r="547" spans="4:21" x14ac:dyDescent="0.35">
      <c r="D547" s="17"/>
      <c r="E547" s="17"/>
      <c r="F547" s="17"/>
      <c r="G547" s="17"/>
      <c r="H547" s="17"/>
      <c r="I547" s="17"/>
      <c r="J547" s="17"/>
      <c r="K547" s="17"/>
      <c r="L547" s="17"/>
      <c r="M547" s="17"/>
      <c r="N547" s="17"/>
      <c r="O547" s="17"/>
      <c r="P547" s="17"/>
      <c r="Q547" s="17"/>
      <c r="R547" s="17"/>
      <c r="S547" s="17"/>
      <c r="T547" s="17"/>
      <c r="U547" s="17"/>
    </row>
    <row r="548" spans="4:21" x14ac:dyDescent="0.35">
      <c r="D548" s="17"/>
      <c r="E548" s="17"/>
      <c r="F548" s="17"/>
      <c r="G548" s="17"/>
      <c r="H548" s="17"/>
      <c r="I548" s="17"/>
      <c r="J548" s="17"/>
      <c r="K548" s="17"/>
      <c r="L548" s="17"/>
      <c r="M548" s="17"/>
      <c r="N548" s="17"/>
      <c r="O548" s="17"/>
      <c r="P548" s="17"/>
      <c r="Q548" s="17"/>
      <c r="R548" s="17"/>
      <c r="S548" s="17"/>
      <c r="T548" s="17"/>
      <c r="U548" s="17"/>
    </row>
    <row r="549" spans="4:21" x14ac:dyDescent="0.35">
      <c r="D549" s="17"/>
      <c r="E549" s="17"/>
      <c r="F549" s="17"/>
      <c r="G549" s="17"/>
      <c r="H549" s="17"/>
      <c r="I549" s="17"/>
      <c r="J549" s="17"/>
      <c r="K549" s="17"/>
      <c r="L549" s="17"/>
      <c r="M549" s="17"/>
      <c r="N549" s="17"/>
      <c r="O549" s="17"/>
      <c r="P549" s="17"/>
      <c r="Q549" s="17"/>
      <c r="R549" s="17"/>
      <c r="S549" s="17"/>
      <c r="T549" s="17"/>
      <c r="U549" s="17"/>
    </row>
    <row r="550" spans="4:21" x14ac:dyDescent="0.35">
      <c r="D550" s="17"/>
      <c r="E550" s="17"/>
      <c r="F550" s="17"/>
      <c r="G550" s="17"/>
      <c r="H550" s="17"/>
      <c r="I550" s="17"/>
      <c r="J550" s="17"/>
      <c r="K550" s="17"/>
      <c r="L550" s="17"/>
      <c r="M550" s="17"/>
      <c r="N550" s="17"/>
      <c r="O550" s="17"/>
      <c r="P550" s="17"/>
      <c r="Q550" s="17"/>
      <c r="R550" s="17"/>
      <c r="S550" s="17"/>
      <c r="T550" s="17"/>
      <c r="U550" s="17"/>
    </row>
    <row r="551" spans="4:21" x14ac:dyDescent="0.35">
      <c r="D551" s="17"/>
      <c r="E551" s="17"/>
      <c r="F551" s="17"/>
      <c r="G551" s="17"/>
      <c r="H551" s="17"/>
      <c r="I551" s="17"/>
      <c r="J551" s="17"/>
      <c r="K551" s="17"/>
      <c r="L551" s="17"/>
      <c r="M551" s="17"/>
      <c r="N551" s="17"/>
      <c r="O551" s="17"/>
      <c r="P551" s="17"/>
      <c r="Q551" s="17"/>
      <c r="R551" s="17"/>
      <c r="S551" s="17"/>
      <c r="T551" s="17"/>
      <c r="U551" s="17"/>
    </row>
    <row r="552" spans="4:21" x14ac:dyDescent="0.35">
      <c r="D552" s="17"/>
      <c r="E552" s="17"/>
      <c r="F552" s="17"/>
      <c r="G552" s="17"/>
      <c r="H552" s="17"/>
      <c r="I552" s="17"/>
      <c r="J552" s="17"/>
      <c r="K552" s="17"/>
      <c r="L552" s="17"/>
      <c r="M552" s="17"/>
      <c r="N552" s="17"/>
      <c r="O552" s="17"/>
      <c r="P552" s="17"/>
      <c r="Q552" s="17"/>
      <c r="R552" s="17"/>
      <c r="S552" s="17"/>
      <c r="T552" s="17"/>
      <c r="U552" s="17"/>
    </row>
    <row r="553" spans="4:21" x14ac:dyDescent="0.35">
      <c r="D553" s="17"/>
      <c r="E553" s="17"/>
      <c r="F553" s="17"/>
      <c r="G553" s="17"/>
      <c r="H553" s="17"/>
      <c r="I553" s="17"/>
      <c r="J553" s="17"/>
      <c r="K553" s="17"/>
      <c r="L553" s="17"/>
      <c r="M553" s="17"/>
      <c r="N553" s="17"/>
      <c r="O553" s="17"/>
      <c r="P553" s="17"/>
      <c r="Q553" s="17"/>
      <c r="R553" s="17"/>
      <c r="S553" s="17"/>
      <c r="T553" s="17"/>
      <c r="U553" s="17"/>
    </row>
    <row r="554" spans="4:21" x14ac:dyDescent="0.35">
      <c r="D554" s="17"/>
      <c r="E554" s="17"/>
      <c r="F554" s="17"/>
      <c r="G554" s="17"/>
      <c r="H554" s="17"/>
      <c r="I554" s="17"/>
      <c r="J554" s="17"/>
      <c r="K554" s="17"/>
      <c r="L554" s="17"/>
      <c r="M554" s="17"/>
      <c r="N554" s="17"/>
      <c r="O554" s="17"/>
      <c r="P554" s="17"/>
      <c r="Q554" s="17"/>
      <c r="R554" s="17"/>
      <c r="S554" s="17"/>
      <c r="T554" s="17"/>
      <c r="U554" s="17"/>
    </row>
    <row r="555" spans="4:21" x14ac:dyDescent="0.35">
      <c r="D555" s="17"/>
      <c r="E555" s="17"/>
      <c r="F555" s="17"/>
      <c r="G555" s="17"/>
      <c r="H555" s="17"/>
      <c r="I555" s="17"/>
      <c r="J555" s="17"/>
      <c r="K555" s="17"/>
      <c r="L555" s="17"/>
      <c r="M555" s="17"/>
      <c r="N555" s="17"/>
      <c r="O555" s="17"/>
      <c r="P555" s="17"/>
      <c r="Q555" s="17"/>
      <c r="R555" s="17"/>
      <c r="S555" s="17"/>
      <c r="T555" s="17"/>
      <c r="U555" s="17"/>
    </row>
    <row r="556" spans="4:21" x14ac:dyDescent="0.35">
      <c r="D556" s="17"/>
      <c r="E556" s="17"/>
      <c r="F556" s="17"/>
      <c r="G556" s="17"/>
      <c r="H556" s="17"/>
      <c r="I556" s="17"/>
      <c r="J556" s="17"/>
      <c r="K556" s="17"/>
      <c r="L556" s="17"/>
      <c r="M556" s="17"/>
      <c r="N556" s="17"/>
      <c r="O556" s="17"/>
      <c r="P556" s="17"/>
      <c r="Q556" s="17"/>
      <c r="R556" s="17"/>
      <c r="S556" s="17"/>
      <c r="T556" s="17"/>
      <c r="U556" s="17"/>
    </row>
    <row r="557" spans="4:21" x14ac:dyDescent="0.35">
      <c r="D557" s="17"/>
      <c r="E557" s="17"/>
      <c r="F557" s="17"/>
      <c r="G557" s="17"/>
      <c r="H557" s="17"/>
      <c r="I557" s="17"/>
      <c r="J557" s="17"/>
      <c r="K557" s="17"/>
      <c r="L557" s="17"/>
      <c r="M557" s="17"/>
      <c r="N557" s="17"/>
      <c r="O557" s="17"/>
      <c r="P557" s="17"/>
      <c r="Q557" s="17"/>
      <c r="R557" s="17"/>
      <c r="S557" s="17"/>
      <c r="T557" s="17"/>
      <c r="U557" s="17"/>
    </row>
    <row r="558" spans="4:21" x14ac:dyDescent="0.35">
      <c r="D558" s="17"/>
      <c r="E558" s="17"/>
      <c r="F558" s="17"/>
      <c r="G558" s="17"/>
      <c r="H558" s="17"/>
      <c r="I558" s="17"/>
      <c r="J558" s="17"/>
      <c r="K558" s="17"/>
      <c r="L558" s="17"/>
      <c r="M558" s="17"/>
      <c r="N558" s="17"/>
      <c r="O558" s="17"/>
      <c r="P558" s="17"/>
      <c r="Q558" s="17"/>
      <c r="R558" s="17"/>
      <c r="S558" s="17"/>
      <c r="T558" s="17"/>
      <c r="U558" s="17"/>
    </row>
    <row r="559" spans="4:21" x14ac:dyDescent="0.35">
      <c r="D559" s="17"/>
      <c r="E559" s="17"/>
      <c r="F559" s="17"/>
      <c r="G559" s="17"/>
      <c r="H559" s="17"/>
      <c r="I559" s="17"/>
      <c r="J559" s="17"/>
      <c r="K559" s="17"/>
      <c r="L559" s="17"/>
      <c r="M559" s="17"/>
      <c r="N559" s="17"/>
      <c r="O559" s="17"/>
      <c r="P559" s="17"/>
      <c r="Q559" s="17"/>
      <c r="R559" s="17"/>
      <c r="S559" s="17"/>
      <c r="T559" s="17"/>
      <c r="U559" s="17"/>
    </row>
    <row r="560" spans="4:21" x14ac:dyDescent="0.35">
      <c r="D560" s="17"/>
      <c r="E560" s="17"/>
      <c r="F560" s="17"/>
      <c r="G560" s="17"/>
      <c r="H560" s="17"/>
      <c r="I560" s="17"/>
      <c r="J560" s="17"/>
      <c r="K560" s="17"/>
      <c r="L560" s="17"/>
      <c r="M560" s="17"/>
      <c r="N560" s="17"/>
      <c r="O560" s="17"/>
      <c r="P560" s="17"/>
      <c r="Q560" s="17"/>
      <c r="R560" s="17"/>
      <c r="S560" s="17"/>
      <c r="T560" s="17"/>
      <c r="U560" s="17"/>
    </row>
    <row r="561" spans="4:21" x14ac:dyDescent="0.35">
      <c r="D561" s="17"/>
      <c r="E561" s="17"/>
      <c r="F561" s="17"/>
      <c r="G561" s="17"/>
      <c r="H561" s="17"/>
      <c r="I561" s="17"/>
      <c r="J561" s="17"/>
      <c r="K561" s="17"/>
      <c r="L561" s="17"/>
      <c r="M561" s="17"/>
      <c r="N561" s="17"/>
      <c r="O561" s="17"/>
      <c r="P561" s="17"/>
      <c r="Q561" s="17"/>
      <c r="R561" s="17"/>
      <c r="S561" s="17"/>
      <c r="T561" s="17"/>
      <c r="U561" s="17"/>
    </row>
    <row r="562" spans="4:21" x14ac:dyDescent="0.35">
      <c r="D562" s="17"/>
      <c r="E562" s="17"/>
      <c r="F562" s="17"/>
      <c r="G562" s="17"/>
      <c r="H562" s="17"/>
      <c r="I562" s="17"/>
      <c r="J562" s="17"/>
      <c r="K562" s="17"/>
      <c r="L562" s="17"/>
      <c r="M562" s="17"/>
      <c r="N562" s="17"/>
      <c r="O562" s="17"/>
      <c r="P562" s="17"/>
      <c r="Q562" s="17"/>
      <c r="R562" s="17"/>
      <c r="S562" s="17"/>
      <c r="T562" s="17"/>
      <c r="U562" s="17"/>
    </row>
    <row r="563" spans="4:21" x14ac:dyDescent="0.35">
      <c r="D563" s="17"/>
      <c r="E563" s="17"/>
      <c r="F563" s="17"/>
      <c r="G563" s="17"/>
      <c r="H563" s="17"/>
      <c r="I563" s="17"/>
      <c r="J563" s="17"/>
      <c r="K563" s="17"/>
      <c r="L563" s="17"/>
      <c r="M563" s="17"/>
      <c r="N563" s="17"/>
      <c r="O563" s="17"/>
      <c r="P563" s="17"/>
      <c r="Q563" s="17"/>
      <c r="R563" s="17"/>
      <c r="S563" s="17"/>
      <c r="T563" s="17"/>
      <c r="U563" s="17"/>
    </row>
    <row r="564" spans="4:21" x14ac:dyDescent="0.35">
      <c r="D564" s="17"/>
      <c r="E564" s="17"/>
      <c r="F564" s="17"/>
      <c r="G564" s="17"/>
      <c r="H564" s="17"/>
      <c r="I564" s="17"/>
      <c r="J564" s="17"/>
      <c r="K564" s="17"/>
      <c r="L564" s="17"/>
      <c r="M564" s="17"/>
      <c r="N564" s="17"/>
      <c r="O564" s="17"/>
      <c r="P564" s="17"/>
      <c r="Q564" s="17"/>
      <c r="R564" s="17"/>
      <c r="S564" s="17"/>
      <c r="T564" s="17"/>
      <c r="U564" s="17"/>
    </row>
    <row r="565" spans="4:21" x14ac:dyDescent="0.35">
      <c r="D565" s="17"/>
      <c r="E565" s="17"/>
      <c r="F565" s="17"/>
      <c r="G565" s="17"/>
      <c r="H565" s="17"/>
      <c r="I565" s="17"/>
      <c r="J565" s="17"/>
      <c r="K565" s="17"/>
      <c r="L565" s="17"/>
      <c r="M565" s="17"/>
      <c r="N565" s="17"/>
      <c r="O565" s="17"/>
      <c r="P565" s="17"/>
      <c r="Q565" s="17"/>
      <c r="R565" s="17"/>
      <c r="S565" s="17"/>
      <c r="T565" s="17"/>
      <c r="U565" s="17"/>
    </row>
    <row r="566" spans="4:21" x14ac:dyDescent="0.35">
      <c r="D566" s="17"/>
      <c r="E566" s="17"/>
      <c r="F566" s="17"/>
      <c r="G566" s="17"/>
      <c r="H566" s="17"/>
      <c r="I566" s="17"/>
      <c r="J566" s="17"/>
      <c r="K566" s="17"/>
      <c r="L566" s="17"/>
      <c r="M566" s="17"/>
      <c r="N566" s="17"/>
      <c r="O566" s="17"/>
      <c r="P566" s="17"/>
      <c r="Q566" s="17"/>
      <c r="R566" s="17"/>
      <c r="S566" s="17"/>
      <c r="T566" s="17"/>
      <c r="U566" s="17"/>
    </row>
    <row r="567" spans="4:21" x14ac:dyDescent="0.35">
      <c r="D567" s="17"/>
      <c r="E567" s="17"/>
      <c r="F567" s="17"/>
      <c r="G567" s="17"/>
      <c r="H567" s="17"/>
      <c r="I567" s="17"/>
      <c r="J567" s="17"/>
      <c r="K567" s="17"/>
      <c r="L567" s="17"/>
      <c r="M567" s="17"/>
      <c r="N567" s="17"/>
      <c r="O567" s="17"/>
      <c r="P567" s="17"/>
      <c r="Q567" s="17"/>
      <c r="R567" s="17"/>
      <c r="S567" s="17"/>
      <c r="T567" s="17"/>
      <c r="U567" s="17"/>
    </row>
    <row r="568" spans="4:21" x14ac:dyDescent="0.35">
      <c r="D568" s="17"/>
      <c r="E568" s="17"/>
      <c r="F568" s="17"/>
      <c r="G568" s="17"/>
      <c r="H568" s="17"/>
      <c r="I568" s="17"/>
      <c r="J568" s="17"/>
      <c r="K568" s="17"/>
      <c r="L568" s="17"/>
      <c r="M568" s="17"/>
      <c r="N568" s="17"/>
      <c r="O568" s="17"/>
      <c r="P568" s="17"/>
      <c r="Q568" s="17"/>
      <c r="R568" s="17"/>
      <c r="S568" s="17"/>
      <c r="T568" s="17"/>
      <c r="U568" s="17"/>
    </row>
    <row r="569" spans="4:21" x14ac:dyDescent="0.35">
      <c r="D569" s="17"/>
      <c r="E569" s="17"/>
      <c r="F569" s="17"/>
      <c r="G569" s="17"/>
      <c r="H569" s="17"/>
      <c r="I569" s="17"/>
      <c r="J569" s="17"/>
      <c r="K569" s="17"/>
      <c r="L569" s="17"/>
      <c r="M569" s="17"/>
      <c r="N569" s="17"/>
      <c r="O569" s="17"/>
      <c r="P569" s="17"/>
      <c r="Q569" s="17"/>
      <c r="R569" s="17"/>
      <c r="S569" s="17"/>
      <c r="T569" s="17"/>
      <c r="U569" s="17"/>
    </row>
    <row r="570" spans="4:21" x14ac:dyDescent="0.35">
      <c r="D570" s="17"/>
      <c r="E570" s="17"/>
      <c r="F570" s="17"/>
      <c r="G570" s="17"/>
      <c r="H570" s="17"/>
      <c r="I570" s="17"/>
      <c r="J570" s="17"/>
      <c r="K570" s="17"/>
      <c r="L570" s="17"/>
      <c r="M570" s="17"/>
      <c r="N570" s="17"/>
      <c r="O570" s="17"/>
      <c r="P570" s="17"/>
      <c r="Q570" s="17"/>
      <c r="R570" s="17"/>
      <c r="S570" s="17"/>
      <c r="T570" s="17"/>
      <c r="U570" s="17"/>
    </row>
    <row r="571" spans="4:21" x14ac:dyDescent="0.35">
      <c r="D571" s="17"/>
      <c r="E571" s="17"/>
      <c r="F571" s="17"/>
      <c r="G571" s="17"/>
      <c r="H571" s="17"/>
      <c r="I571" s="17"/>
      <c r="J571" s="17"/>
      <c r="K571" s="17"/>
      <c r="L571" s="17"/>
      <c r="M571" s="17"/>
      <c r="N571" s="17"/>
      <c r="O571" s="17"/>
      <c r="P571" s="17"/>
      <c r="Q571" s="17"/>
      <c r="R571" s="17"/>
      <c r="S571" s="17"/>
      <c r="T571" s="17"/>
      <c r="U571" s="17"/>
    </row>
    <row r="572" spans="4:21" x14ac:dyDescent="0.35">
      <c r="D572" s="17"/>
      <c r="E572" s="17"/>
      <c r="F572" s="17"/>
      <c r="G572" s="17"/>
      <c r="H572" s="17"/>
      <c r="I572" s="17"/>
      <c r="J572" s="17"/>
      <c r="K572" s="17"/>
      <c r="L572" s="17"/>
      <c r="M572" s="17"/>
      <c r="N572" s="17"/>
      <c r="O572" s="17"/>
      <c r="P572" s="17"/>
      <c r="Q572" s="17"/>
      <c r="R572" s="17"/>
      <c r="S572" s="17"/>
      <c r="T572" s="17"/>
      <c r="U572" s="17"/>
    </row>
    <row r="573" spans="4:21" x14ac:dyDescent="0.35">
      <c r="D573" s="17"/>
      <c r="E573" s="17"/>
      <c r="F573" s="17"/>
      <c r="G573" s="17"/>
      <c r="H573" s="17"/>
      <c r="I573" s="17"/>
      <c r="J573" s="17"/>
      <c r="K573" s="17"/>
      <c r="L573" s="17"/>
      <c r="M573" s="17"/>
      <c r="N573" s="17"/>
      <c r="O573" s="17"/>
      <c r="P573" s="17"/>
      <c r="Q573" s="17"/>
      <c r="R573" s="17"/>
      <c r="S573" s="17"/>
      <c r="T573" s="17"/>
      <c r="U573" s="17"/>
    </row>
    <row r="574" spans="4:21" x14ac:dyDescent="0.35">
      <c r="D574" s="17"/>
      <c r="E574" s="17"/>
      <c r="F574" s="17"/>
      <c r="G574" s="17"/>
      <c r="H574" s="17"/>
      <c r="I574" s="17"/>
      <c r="J574" s="17"/>
      <c r="K574" s="17"/>
      <c r="L574" s="17"/>
      <c r="M574" s="17"/>
      <c r="N574" s="17"/>
      <c r="O574" s="17"/>
      <c r="P574" s="17"/>
      <c r="Q574" s="17"/>
      <c r="R574" s="17"/>
      <c r="S574" s="17"/>
      <c r="T574" s="17"/>
      <c r="U574" s="17"/>
    </row>
    <row r="575" spans="4:21" x14ac:dyDescent="0.35">
      <c r="D575" s="17"/>
      <c r="E575" s="17"/>
      <c r="F575" s="17"/>
      <c r="G575" s="17"/>
      <c r="H575" s="17"/>
      <c r="I575" s="17"/>
      <c r="J575" s="17"/>
      <c r="K575" s="17"/>
      <c r="L575" s="17"/>
      <c r="M575" s="17"/>
      <c r="N575" s="17"/>
      <c r="O575" s="17"/>
      <c r="P575" s="17"/>
      <c r="Q575" s="17"/>
      <c r="R575" s="17"/>
      <c r="S575" s="17"/>
      <c r="T575" s="17"/>
      <c r="U575" s="17"/>
    </row>
    <row r="576" spans="4:21" x14ac:dyDescent="0.35">
      <c r="D576" s="17"/>
      <c r="E576" s="17"/>
      <c r="F576" s="17"/>
      <c r="G576" s="17"/>
      <c r="H576" s="17"/>
      <c r="I576" s="17"/>
      <c r="J576" s="17"/>
      <c r="K576" s="17"/>
      <c r="L576" s="17"/>
      <c r="M576" s="17"/>
      <c r="N576" s="17"/>
      <c r="O576" s="17"/>
      <c r="P576" s="17"/>
      <c r="Q576" s="17"/>
      <c r="R576" s="17"/>
      <c r="S576" s="17"/>
      <c r="T576" s="17"/>
      <c r="U576" s="17"/>
    </row>
    <row r="577" spans="4:21" x14ac:dyDescent="0.35">
      <c r="D577" s="17"/>
      <c r="E577" s="17"/>
      <c r="F577" s="17"/>
      <c r="G577" s="17"/>
      <c r="H577" s="17"/>
      <c r="I577" s="17"/>
      <c r="J577" s="17"/>
      <c r="K577" s="17"/>
      <c r="L577" s="17"/>
      <c r="M577" s="17"/>
      <c r="N577" s="17"/>
      <c r="O577" s="17"/>
      <c r="P577" s="17"/>
      <c r="Q577" s="17"/>
      <c r="R577" s="17"/>
      <c r="S577" s="17"/>
      <c r="T577" s="17"/>
      <c r="U577" s="17"/>
    </row>
    <row r="578" spans="4:21" x14ac:dyDescent="0.35">
      <c r="D578" s="17"/>
      <c r="E578" s="17"/>
      <c r="F578" s="17"/>
      <c r="G578" s="17"/>
      <c r="H578" s="17"/>
      <c r="I578" s="17"/>
      <c r="J578" s="17"/>
      <c r="K578" s="17"/>
      <c r="L578" s="17"/>
      <c r="M578" s="17"/>
      <c r="N578" s="17"/>
      <c r="O578" s="17"/>
      <c r="P578" s="17"/>
      <c r="Q578" s="17"/>
      <c r="R578" s="17"/>
      <c r="S578" s="17"/>
      <c r="T578" s="17"/>
      <c r="U578" s="17"/>
    </row>
    <row r="579" spans="4:21" x14ac:dyDescent="0.35">
      <c r="D579" s="17"/>
      <c r="E579" s="17"/>
      <c r="F579" s="17"/>
      <c r="G579" s="17"/>
      <c r="H579" s="17"/>
      <c r="I579" s="17"/>
      <c r="J579" s="17"/>
      <c r="K579" s="17"/>
      <c r="L579" s="17"/>
      <c r="M579" s="17"/>
      <c r="N579" s="17"/>
      <c r="O579" s="17"/>
      <c r="P579" s="17"/>
      <c r="Q579" s="17"/>
      <c r="R579" s="17"/>
      <c r="S579" s="17"/>
      <c r="T579" s="17"/>
      <c r="U579" s="17"/>
    </row>
    <row r="580" spans="4:21" x14ac:dyDescent="0.35">
      <c r="D580" s="17"/>
      <c r="E580" s="17"/>
      <c r="F580" s="17"/>
      <c r="G580" s="17"/>
      <c r="H580" s="17"/>
      <c r="I580" s="17"/>
      <c r="J580" s="17"/>
      <c r="K580" s="17"/>
      <c r="L580" s="17"/>
      <c r="M580" s="17"/>
      <c r="N580" s="17"/>
      <c r="O580" s="17"/>
      <c r="P580" s="17"/>
      <c r="Q580" s="17"/>
      <c r="R580" s="17"/>
      <c r="S580" s="17"/>
      <c r="T580" s="17"/>
      <c r="U580" s="17"/>
    </row>
    <row r="581" spans="4:21" x14ac:dyDescent="0.35">
      <c r="D581" s="17"/>
      <c r="E581" s="17"/>
      <c r="F581" s="17"/>
      <c r="G581" s="17"/>
      <c r="H581" s="17"/>
      <c r="I581" s="17"/>
      <c r="J581" s="17"/>
      <c r="K581" s="17"/>
      <c r="L581" s="17"/>
      <c r="M581" s="17"/>
      <c r="N581" s="17"/>
      <c r="O581" s="17"/>
      <c r="P581" s="17"/>
      <c r="Q581" s="17"/>
      <c r="R581" s="17"/>
      <c r="S581" s="17"/>
      <c r="T581" s="17"/>
      <c r="U581" s="17"/>
    </row>
    <row r="582" spans="4:21" x14ac:dyDescent="0.35">
      <c r="D582" s="17"/>
      <c r="E582" s="17"/>
      <c r="F582" s="17"/>
      <c r="G582" s="17"/>
      <c r="H582" s="17"/>
      <c r="I582" s="17"/>
      <c r="J582" s="17"/>
      <c r="K582" s="17"/>
      <c r="L582" s="17"/>
      <c r="M582" s="17"/>
      <c r="N582" s="17"/>
      <c r="O582" s="17"/>
      <c r="P582" s="17"/>
      <c r="Q582" s="17"/>
      <c r="R582" s="17"/>
      <c r="S582" s="17"/>
      <c r="T582" s="17"/>
      <c r="U582" s="17"/>
    </row>
  </sheetData>
  <mergeCells count="36">
    <mergeCell ref="A125:B125"/>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14:B114"/>
    <mergeCell ref="A115:B115"/>
    <mergeCell ref="A116:B116"/>
    <mergeCell ref="A118:B118"/>
    <mergeCell ref="A121:B121"/>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7C6F1"/>
  </sheetPr>
  <dimension ref="A1:AI60"/>
  <sheetViews>
    <sheetView workbookViewId="0"/>
  </sheetViews>
  <sheetFormatPr defaultColWidth="9.1796875" defaultRowHeight="14.5" x14ac:dyDescent="0.35"/>
  <cols>
    <col min="1" max="1" width="37.81640625" style="71" customWidth="1"/>
    <col min="2" max="2" width="7.453125" style="232" customWidth="1"/>
    <col min="3" max="3" width="10" style="1" bestFit="1" customWidth="1"/>
    <col min="4" max="35" width="9.1796875" style="1"/>
    <col min="36" max="16384" width="9.1796875" style="70"/>
  </cols>
  <sheetData>
    <row r="1" spans="1:35" ht="18.5" x14ac:dyDescent="0.35">
      <c r="A1" s="295" t="s">
        <v>174</v>
      </c>
      <c r="H1" s="296" t="s">
        <v>175</v>
      </c>
    </row>
    <row r="2" spans="1:35" ht="8.25" customHeight="1" x14ac:dyDescent="0.35"/>
    <row r="3" spans="1:35" s="237" customFormat="1" ht="23.25" customHeight="1" x14ac:dyDescent="0.35">
      <c r="A3" s="233"/>
      <c r="B3" s="234"/>
      <c r="C3" s="297">
        <f>'2. Tulud-kulud projektiga'!D3</f>
        <v>2024</v>
      </c>
      <c r="D3" s="297">
        <f>C3+1</f>
        <v>2025</v>
      </c>
      <c r="E3" s="297">
        <f t="shared" ref="E3:O3" si="0">D3+1</f>
        <v>2026</v>
      </c>
      <c r="F3" s="297">
        <f t="shared" si="0"/>
        <v>2027</v>
      </c>
      <c r="G3" s="297">
        <f t="shared" si="0"/>
        <v>2028</v>
      </c>
      <c r="H3" s="297">
        <f t="shared" si="0"/>
        <v>2029</v>
      </c>
      <c r="I3" s="297">
        <f t="shared" si="0"/>
        <v>2030</v>
      </c>
      <c r="J3" s="297">
        <f t="shared" si="0"/>
        <v>2031</v>
      </c>
      <c r="K3" s="297">
        <f t="shared" si="0"/>
        <v>2032</v>
      </c>
      <c r="L3" s="297">
        <f t="shared" si="0"/>
        <v>2033</v>
      </c>
      <c r="M3" s="297">
        <f t="shared" si="0"/>
        <v>2034</v>
      </c>
      <c r="N3" s="297">
        <f t="shared" si="0"/>
        <v>2035</v>
      </c>
      <c r="O3" s="297">
        <f t="shared" si="0"/>
        <v>2036</v>
      </c>
      <c r="P3" s="297">
        <f t="shared" ref="P3" si="1">O3+1</f>
        <v>2037</v>
      </c>
      <c r="Q3" s="297">
        <f t="shared" ref="Q3" si="2">P3+1</f>
        <v>2038</v>
      </c>
      <c r="R3" s="298"/>
      <c r="S3" s="236"/>
      <c r="T3" s="236"/>
      <c r="U3" s="236"/>
      <c r="V3" s="236"/>
      <c r="W3" s="236"/>
      <c r="X3" s="236"/>
      <c r="Y3" s="236"/>
      <c r="Z3" s="236"/>
      <c r="AA3" s="236"/>
      <c r="AB3" s="236"/>
      <c r="AC3" s="236"/>
      <c r="AD3" s="236"/>
      <c r="AE3" s="236"/>
      <c r="AF3" s="236"/>
      <c r="AG3" s="236"/>
      <c r="AH3" s="236"/>
      <c r="AI3" s="236"/>
    </row>
    <row r="4" spans="1:35" ht="4.5" customHeight="1" x14ac:dyDescent="0.35">
      <c r="A4" s="238"/>
      <c r="B4" s="239"/>
      <c r="C4" s="299"/>
      <c r="D4" s="299"/>
      <c r="E4" s="299"/>
      <c r="F4" s="299"/>
      <c r="G4" s="299"/>
      <c r="H4" s="299"/>
      <c r="I4" s="299"/>
      <c r="J4" s="299"/>
      <c r="K4" s="299"/>
      <c r="L4" s="299"/>
      <c r="M4" s="299"/>
      <c r="N4" s="299"/>
      <c r="O4" s="299"/>
      <c r="P4" s="299"/>
      <c r="Q4" s="300"/>
      <c r="R4" s="301"/>
    </row>
    <row r="5" spans="1:35" ht="20.25" customHeight="1" x14ac:dyDescent="0.35">
      <c r="A5" s="302" t="s">
        <v>176</v>
      </c>
      <c r="B5" s="303" t="s">
        <v>2</v>
      </c>
      <c r="C5" s="72"/>
      <c r="D5" s="72"/>
      <c r="E5" s="72"/>
      <c r="F5" s="72"/>
      <c r="G5" s="72"/>
      <c r="H5" s="72"/>
      <c r="I5" s="72"/>
      <c r="J5" s="72"/>
      <c r="K5" s="72"/>
      <c r="L5" s="72"/>
      <c r="M5" s="72"/>
      <c r="N5" s="72"/>
      <c r="O5" s="72"/>
      <c r="P5" s="72"/>
      <c r="Q5" s="72"/>
    </row>
    <row r="6" spans="1:35" ht="4.5" customHeight="1" x14ac:dyDescent="0.35">
      <c r="A6" s="240"/>
      <c r="B6" s="239"/>
      <c r="C6" s="74"/>
      <c r="D6" s="74"/>
      <c r="E6" s="74"/>
      <c r="F6" s="74"/>
      <c r="G6" s="74"/>
      <c r="H6" s="74"/>
      <c r="I6" s="74"/>
      <c r="J6" s="74"/>
      <c r="K6" s="74"/>
      <c r="L6" s="74"/>
      <c r="M6" s="74"/>
      <c r="N6" s="74"/>
      <c r="O6" s="74"/>
      <c r="P6" s="74"/>
      <c r="Q6" s="134"/>
    </row>
    <row r="7" spans="1:35" s="244" customFormat="1" ht="16.5" customHeight="1" x14ac:dyDescent="0.35">
      <c r="A7" s="304" t="s">
        <v>177</v>
      </c>
      <c r="B7" s="305" t="s">
        <v>3</v>
      </c>
      <c r="C7" s="306">
        <f>'4. Lisanduvad tulud-kulud'!D53</f>
        <v>0</v>
      </c>
      <c r="D7" s="306">
        <f>'4. Lisanduvad tulud-kulud'!E53</f>
        <v>0</v>
      </c>
      <c r="E7" s="306">
        <f>'4. Lisanduvad tulud-kulud'!F53</f>
        <v>36690.654213865673</v>
      </c>
      <c r="F7" s="306">
        <f>'4. Lisanduvad tulud-kulud'!G53</f>
        <v>110071.96264159701</v>
      </c>
      <c r="G7" s="306">
        <f>'4. Lisanduvad tulud-kulud'!H53</f>
        <v>110071.96264159701</v>
      </c>
      <c r="H7" s="306">
        <f>'4. Lisanduvad tulud-kulud'!I53</f>
        <v>147801.92426295846</v>
      </c>
      <c r="I7" s="306">
        <f>'4. Lisanduvad tulud-kulud'!J53</f>
        <v>147801.92426295846</v>
      </c>
      <c r="J7" s="306">
        <f>'4. Lisanduvad tulud-kulud'!K53</f>
        <v>147801.92426295846</v>
      </c>
      <c r="K7" s="306">
        <f>'4. Lisanduvad tulud-kulud'!L53</f>
        <v>147801.92426295846</v>
      </c>
      <c r="L7" s="306">
        <f>'4. Lisanduvad tulud-kulud'!M53</f>
        <v>185559.1793998158</v>
      </c>
      <c r="M7" s="306">
        <f>'4. Lisanduvad tulud-kulud'!N53</f>
        <v>185559.1793998158</v>
      </c>
      <c r="N7" s="306">
        <f>'4. Lisanduvad tulud-kulud'!O53</f>
        <v>185559.1793998158</v>
      </c>
      <c r="O7" s="306">
        <f>'4. Lisanduvad tulud-kulud'!P53</f>
        <v>185559.1793998158</v>
      </c>
      <c r="P7" s="306">
        <f>'4. Lisanduvad tulud-kulud'!Q53</f>
        <v>185559.1793998158</v>
      </c>
      <c r="Q7" s="306">
        <f>'4. Lisanduvad tulud-kulud'!R53</f>
        <v>185559.1793998158</v>
      </c>
    </row>
    <row r="8" spans="1:35" s="244" customFormat="1" ht="16.5" customHeight="1" x14ac:dyDescent="0.35">
      <c r="A8" s="307" t="s">
        <v>178</v>
      </c>
      <c r="B8" s="305" t="s">
        <v>3</v>
      </c>
      <c r="C8" s="308"/>
      <c r="D8" s="308"/>
      <c r="E8" s="308"/>
      <c r="F8" s="308"/>
      <c r="G8" s="308"/>
      <c r="H8" s="308"/>
      <c r="I8" s="308"/>
      <c r="J8" s="308"/>
      <c r="K8" s="308"/>
      <c r="L8" s="308"/>
      <c r="M8" s="308"/>
      <c r="N8" s="308"/>
      <c r="O8" s="308"/>
      <c r="P8" s="308"/>
      <c r="Q8" s="306">
        <f>'8. Jääkväärtus'!Q14</f>
        <v>0</v>
      </c>
    </row>
    <row r="9" spans="1:35" ht="16.5" hidden="1" customHeight="1" x14ac:dyDescent="0.35">
      <c r="A9" s="241"/>
      <c r="B9" s="242" t="s">
        <v>3</v>
      </c>
      <c r="C9" s="11"/>
      <c r="D9" s="11"/>
      <c r="E9" s="11"/>
      <c r="F9" s="11"/>
      <c r="G9" s="11"/>
      <c r="H9" s="11"/>
      <c r="I9" s="11"/>
      <c r="J9" s="11"/>
      <c r="K9" s="11"/>
      <c r="L9" s="11"/>
      <c r="M9" s="11"/>
      <c r="N9" s="11"/>
      <c r="O9" s="11"/>
      <c r="P9" s="11"/>
      <c r="Q9" s="11"/>
    </row>
    <row r="10" spans="1:35" ht="4.5" customHeight="1" x14ac:dyDescent="0.35">
      <c r="A10" s="238"/>
      <c r="B10" s="246"/>
      <c r="C10" s="18"/>
      <c r="D10" s="18"/>
      <c r="E10" s="18"/>
      <c r="F10" s="18"/>
      <c r="G10" s="18"/>
      <c r="H10" s="18"/>
      <c r="I10" s="18"/>
      <c r="J10" s="18"/>
      <c r="K10" s="18"/>
      <c r="L10" s="18"/>
      <c r="M10" s="18"/>
      <c r="N10" s="18"/>
      <c r="O10" s="18"/>
      <c r="P10" s="18"/>
      <c r="Q10" s="19"/>
    </row>
    <row r="11" spans="1:35" s="250" customFormat="1" ht="22.5" customHeight="1" x14ac:dyDescent="0.35">
      <c r="A11" s="309" t="s">
        <v>179</v>
      </c>
      <c r="B11" s="310" t="s">
        <v>3</v>
      </c>
      <c r="C11" s="311">
        <f t="shared" ref="C11:Q11" si="3">SUM(C7:C9)</f>
        <v>0</v>
      </c>
      <c r="D11" s="311">
        <f t="shared" si="3"/>
        <v>0</v>
      </c>
      <c r="E11" s="311">
        <f t="shared" si="3"/>
        <v>36690.654213865673</v>
      </c>
      <c r="F11" s="311">
        <f t="shared" si="3"/>
        <v>110071.96264159701</v>
      </c>
      <c r="G11" s="311">
        <f t="shared" si="3"/>
        <v>110071.96264159701</v>
      </c>
      <c r="H11" s="311">
        <f t="shared" si="3"/>
        <v>147801.92426295846</v>
      </c>
      <c r="I11" s="311">
        <f t="shared" si="3"/>
        <v>147801.92426295846</v>
      </c>
      <c r="J11" s="311">
        <f t="shared" si="3"/>
        <v>147801.92426295846</v>
      </c>
      <c r="K11" s="311">
        <f t="shared" si="3"/>
        <v>147801.92426295846</v>
      </c>
      <c r="L11" s="311">
        <f t="shared" si="3"/>
        <v>185559.1793998158</v>
      </c>
      <c r="M11" s="311">
        <f t="shared" si="3"/>
        <v>185559.1793998158</v>
      </c>
      <c r="N11" s="311">
        <f t="shared" si="3"/>
        <v>185559.1793998158</v>
      </c>
      <c r="O11" s="311">
        <f t="shared" si="3"/>
        <v>185559.1793998158</v>
      </c>
      <c r="P11" s="311">
        <f t="shared" si="3"/>
        <v>185559.1793998158</v>
      </c>
      <c r="Q11" s="311">
        <f t="shared" si="3"/>
        <v>185559.1793998158</v>
      </c>
      <c r="R11" s="3"/>
      <c r="S11" s="3"/>
      <c r="T11" s="3"/>
      <c r="U11" s="3"/>
      <c r="V11" s="3"/>
      <c r="W11" s="3"/>
      <c r="X11" s="3"/>
      <c r="Y11" s="3"/>
      <c r="Z11" s="3"/>
      <c r="AA11" s="3"/>
      <c r="AB11" s="3"/>
      <c r="AC11" s="3"/>
      <c r="AD11" s="3"/>
      <c r="AE11" s="3"/>
      <c r="AF11" s="3"/>
      <c r="AG11" s="3"/>
      <c r="AH11" s="3"/>
      <c r="AI11" s="3"/>
    </row>
    <row r="12" spans="1:35" s="250" customFormat="1" ht="4.5" customHeight="1" x14ac:dyDescent="0.35">
      <c r="A12" s="251"/>
      <c r="B12" s="246"/>
      <c r="C12" s="252"/>
      <c r="D12" s="252"/>
      <c r="E12" s="252"/>
      <c r="F12" s="252"/>
      <c r="G12" s="252"/>
      <c r="H12" s="252"/>
      <c r="I12" s="252"/>
      <c r="J12" s="252"/>
      <c r="K12" s="252"/>
      <c r="L12" s="252"/>
      <c r="M12" s="252"/>
      <c r="N12" s="252"/>
      <c r="O12" s="252"/>
      <c r="P12" s="252"/>
      <c r="Q12" s="253"/>
      <c r="R12" s="3"/>
      <c r="S12" s="3"/>
      <c r="T12" s="3"/>
      <c r="U12" s="3"/>
      <c r="V12" s="3"/>
      <c r="W12" s="3"/>
      <c r="X12" s="3"/>
      <c r="Y12" s="3"/>
      <c r="Z12" s="3"/>
      <c r="AA12" s="3"/>
      <c r="AB12" s="3"/>
      <c r="AC12" s="3"/>
      <c r="AD12" s="3"/>
      <c r="AE12" s="3"/>
      <c r="AF12" s="3"/>
      <c r="AG12" s="3"/>
      <c r="AH12" s="3"/>
      <c r="AI12" s="3"/>
    </row>
    <row r="13" spans="1:35" ht="20.25" customHeight="1" x14ac:dyDescent="0.35">
      <c r="A13" s="254"/>
      <c r="B13" s="255"/>
      <c r="C13" s="256"/>
      <c r="D13" s="256"/>
      <c r="E13" s="256"/>
      <c r="F13" s="256"/>
      <c r="G13" s="256"/>
      <c r="H13" s="256"/>
      <c r="I13" s="256"/>
      <c r="J13" s="256"/>
      <c r="K13" s="256"/>
      <c r="L13" s="256"/>
      <c r="M13" s="256"/>
      <c r="N13" s="256"/>
      <c r="O13" s="256"/>
      <c r="P13" s="256"/>
      <c r="Q13" s="256"/>
    </row>
    <row r="14" spans="1:35" ht="20.25" customHeight="1" x14ac:dyDescent="0.35">
      <c r="A14" s="302" t="s">
        <v>180</v>
      </c>
      <c r="B14" s="257"/>
      <c r="C14" s="11"/>
      <c r="D14" s="11"/>
      <c r="E14" s="11"/>
      <c r="F14" s="11"/>
      <c r="G14" s="11"/>
      <c r="H14" s="11"/>
      <c r="I14" s="11"/>
      <c r="J14" s="11"/>
      <c r="K14" s="11"/>
      <c r="L14" s="11"/>
      <c r="M14" s="11"/>
      <c r="N14" s="11"/>
      <c r="O14" s="11"/>
      <c r="P14" s="11"/>
      <c r="Q14" s="11"/>
    </row>
    <row r="15" spans="1:35" ht="4.5" customHeight="1" x14ac:dyDescent="0.35">
      <c r="A15" s="240"/>
      <c r="B15" s="246"/>
      <c r="C15" s="18"/>
      <c r="D15" s="18"/>
      <c r="E15" s="18"/>
      <c r="F15" s="18"/>
      <c r="G15" s="18"/>
      <c r="H15" s="18"/>
      <c r="I15" s="18"/>
      <c r="J15" s="18"/>
      <c r="K15" s="18"/>
      <c r="L15" s="18"/>
      <c r="M15" s="18"/>
      <c r="N15" s="18"/>
      <c r="O15" s="18"/>
      <c r="P15" s="18"/>
      <c r="Q15" s="19"/>
    </row>
    <row r="16" spans="1:35" ht="16.5" customHeight="1" x14ac:dyDescent="0.35">
      <c r="A16" s="307" t="s">
        <v>181</v>
      </c>
      <c r="B16" s="305" t="s">
        <v>3</v>
      </c>
      <c r="C16" s="306">
        <f>'4. Lisanduvad tulud-kulud'!D118</f>
        <v>0</v>
      </c>
      <c r="D16" s="306">
        <f>'4. Lisanduvad tulud-kulud'!E118</f>
        <v>0</v>
      </c>
      <c r="E16" s="306">
        <f>'4. Lisanduvad tulud-kulud'!F118</f>
        <v>62445.095704666666</v>
      </c>
      <c r="F16" s="306">
        <f>'4. Lisanduvad tulud-kulud'!G118</f>
        <v>153400.93111400001</v>
      </c>
      <c r="G16" s="306">
        <f>'4. Lisanduvad tulud-kulud'!H118</f>
        <v>153400.93111400001</v>
      </c>
      <c r="H16" s="306">
        <f>'4. Lisanduvad tulud-kulud'!I118</f>
        <v>153610.04336800001</v>
      </c>
      <c r="I16" s="306">
        <f>'4. Lisanduvad tulud-kulud'!J118</f>
        <v>153610.04336800001</v>
      </c>
      <c r="J16" s="306">
        <f>'4. Lisanduvad tulud-kulud'!K118</f>
        <v>153610.04336800001</v>
      </c>
      <c r="K16" s="306">
        <f>'4. Lisanduvad tulud-kulud'!L118</f>
        <v>153610.04336800001</v>
      </c>
      <c r="L16" s="306">
        <f>'4. Lisanduvad tulud-kulud'!M118</f>
        <v>153923.15562199999</v>
      </c>
      <c r="M16" s="306">
        <f>'4. Lisanduvad tulud-kulud'!N118</f>
        <v>153923.15562199999</v>
      </c>
      <c r="N16" s="306">
        <f>'4. Lisanduvad tulud-kulud'!O118</f>
        <v>153923.15562199999</v>
      </c>
      <c r="O16" s="306">
        <f>'4. Lisanduvad tulud-kulud'!P118</f>
        <v>153923.15562199999</v>
      </c>
      <c r="P16" s="306">
        <f>'4. Lisanduvad tulud-kulud'!Q118</f>
        <v>153923.15562199999</v>
      </c>
      <c r="Q16" s="306">
        <f>'4. Lisanduvad tulud-kulud'!R118</f>
        <v>189923.15562199999</v>
      </c>
    </row>
    <row r="17" spans="1:35" ht="16.5" customHeight="1" x14ac:dyDescent="0.35">
      <c r="A17" s="307" t="s">
        <v>121</v>
      </c>
      <c r="B17" s="305" t="s">
        <v>3</v>
      </c>
      <c r="C17" s="306">
        <f>'6. Rahavood'!C28</f>
        <v>0</v>
      </c>
      <c r="D17" s="306">
        <f>'6. Rahavood'!D28</f>
        <v>0</v>
      </c>
      <c r="E17" s="306">
        <f>'6. Rahavood'!E28</f>
        <v>0</v>
      </c>
      <c r="F17" s="306">
        <f>'6. Rahavood'!F28</f>
        <v>0</v>
      </c>
      <c r="G17" s="306">
        <f>'6. Rahavood'!G28</f>
        <v>0</v>
      </c>
      <c r="H17" s="306">
        <f>'6. Rahavood'!H28</f>
        <v>0</v>
      </c>
      <c r="I17" s="306">
        <f>'6. Rahavood'!I28</f>
        <v>0</v>
      </c>
      <c r="J17" s="306">
        <f>'6. Rahavood'!J28</f>
        <v>0</v>
      </c>
      <c r="K17" s="306">
        <f>'6. Rahavood'!K28</f>
        <v>0</v>
      </c>
      <c r="L17" s="306">
        <f>'6. Rahavood'!L28</f>
        <v>40000</v>
      </c>
      <c r="M17" s="306">
        <f>'6. Rahavood'!M28</f>
        <v>18000</v>
      </c>
      <c r="N17" s="306">
        <f>'6. Rahavood'!N28</f>
        <v>30000</v>
      </c>
      <c r="O17" s="306">
        <f>'6. Rahavood'!O28</f>
        <v>30000</v>
      </c>
      <c r="P17" s="306">
        <f>'6. Rahavood'!P28</f>
        <v>26000</v>
      </c>
      <c r="Q17" s="306">
        <f>'6. Rahavood'!Q28</f>
        <v>18000</v>
      </c>
    </row>
    <row r="18" spans="1:35" ht="16.5" customHeight="1" x14ac:dyDescent="0.35">
      <c r="A18" s="307" t="s">
        <v>122</v>
      </c>
      <c r="B18" s="305" t="s">
        <v>3</v>
      </c>
      <c r="C18" s="306">
        <f>'6. Rahavood'!C29</f>
        <v>0</v>
      </c>
      <c r="D18" s="306">
        <f>'6. Rahavood'!D29</f>
        <v>0</v>
      </c>
      <c r="E18" s="306">
        <f>'6. Rahavood'!E29</f>
        <v>0</v>
      </c>
      <c r="F18" s="306">
        <f>'6. Rahavood'!F29</f>
        <v>0</v>
      </c>
      <c r="G18" s="306">
        <f>'6. Rahavood'!G29</f>
        <v>0</v>
      </c>
      <c r="H18" s="306">
        <f>'6. Rahavood'!H29</f>
        <v>0</v>
      </c>
      <c r="I18" s="306">
        <f>'6. Rahavood'!I29</f>
        <v>0</v>
      </c>
      <c r="J18" s="306">
        <f>'6. Rahavood'!J29</f>
        <v>0</v>
      </c>
      <c r="K18" s="306">
        <f>'6. Rahavood'!K29</f>
        <v>0</v>
      </c>
      <c r="L18" s="306">
        <f>'6. Rahavood'!L29</f>
        <v>0</v>
      </c>
      <c r="M18" s="306">
        <f>'6. Rahavood'!M29</f>
        <v>0</v>
      </c>
      <c r="N18" s="306">
        <f>'6. Rahavood'!N29</f>
        <v>0</v>
      </c>
      <c r="O18" s="306">
        <f>'6. Rahavood'!O29</f>
        <v>0</v>
      </c>
      <c r="P18" s="306">
        <f>'6. Rahavood'!P29</f>
        <v>0</v>
      </c>
      <c r="Q18" s="306">
        <f>'6. Rahavood'!Q29</f>
        <v>0</v>
      </c>
    </row>
    <row r="19" spans="1:35" ht="16.5" customHeight="1" x14ac:dyDescent="0.35">
      <c r="A19" s="307" t="s">
        <v>182</v>
      </c>
      <c r="B19" s="305" t="s">
        <v>3</v>
      </c>
      <c r="C19" s="306">
        <f>'6. Rahavood'!C14</f>
        <v>0</v>
      </c>
      <c r="D19" s="306">
        <f>'6. Rahavood'!D14</f>
        <v>0</v>
      </c>
      <c r="E19" s="306">
        <f>'6. Rahavood'!E14</f>
        <v>0</v>
      </c>
      <c r="F19" s="306">
        <f>'6. Rahavood'!F14</f>
        <v>0</v>
      </c>
      <c r="G19" s="306">
        <f>'6. Rahavood'!G14</f>
        <v>0</v>
      </c>
      <c r="H19" s="306">
        <f>'6. Rahavood'!H14</f>
        <v>0</v>
      </c>
      <c r="I19" s="306">
        <f>'6. Rahavood'!I14</f>
        <v>0</v>
      </c>
      <c r="J19" s="306">
        <f>'6. Rahavood'!J14</f>
        <v>0</v>
      </c>
      <c r="K19" s="306">
        <f>'6. Rahavood'!K14</f>
        <v>0</v>
      </c>
      <c r="L19" s="306">
        <f>'6. Rahavood'!L14</f>
        <v>0</v>
      </c>
      <c r="M19" s="306">
        <f>'6. Rahavood'!M14</f>
        <v>0</v>
      </c>
      <c r="N19" s="306">
        <f>'6. Rahavood'!N14</f>
        <v>0</v>
      </c>
      <c r="O19" s="306">
        <f>'6. Rahavood'!O14</f>
        <v>0</v>
      </c>
      <c r="P19" s="306">
        <f>'6. Rahavood'!P14</f>
        <v>0</v>
      </c>
      <c r="Q19" s="306">
        <f>'6. Rahavood'!Q14</f>
        <v>0</v>
      </c>
    </row>
    <row r="20" spans="1:35" ht="16.5" customHeight="1" x14ac:dyDescent="0.35">
      <c r="A20" s="307" t="s">
        <v>183</v>
      </c>
      <c r="B20" s="305" t="s">
        <v>3</v>
      </c>
      <c r="C20" s="306">
        <f>SUM('6. Rahavood'!C8:C12)</f>
        <v>0</v>
      </c>
      <c r="D20" s="306">
        <f>SUM('6. Rahavood'!D8:D12)</f>
        <v>0</v>
      </c>
      <c r="E20" s="306">
        <f>SUM('6. Rahavood'!E8:E12)</f>
        <v>0</v>
      </c>
      <c r="F20" s="306">
        <f>SUM('6. Rahavood'!F8:F12)</f>
        <v>0</v>
      </c>
      <c r="G20" s="306">
        <f>SUM('6. Rahavood'!G8:G12)</f>
        <v>0</v>
      </c>
      <c r="H20" s="306">
        <f>SUM('6. Rahavood'!H8:H12)</f>
        <v>0</v>
      </c>
      <c r="I20" s="306">
        <f>SUM('6. Rahavood'!I8:I12)</f>
        <v>0</v>
      </c>
      <c r="J20" s="306">
        <f>SUM('6. Rahavood'!J8:J12)</f>
        <v>0</v>
      </c>
      <c r="K20" s="306">
        <f>SUM('6. Rahavood'!K8:K12)</f>
        <v>0</v>
      </c>
      <c r="L20" s="306">
        <f>SUM('6. Rahavood'!L8:L12)</f>
        <v>0</v>
      </c>
      <c r="M20" s="306">
        <f>SUM('6. Rahavood'!M8:M12)</f>
        <v>0</v>
      </c>
      <c r="N20" s="306">
        <f>SUM('6. Rahavood'!N8:N12)</f>
        <v>0</v>
      </c>
      <c r="O20" s="306">
        <f>SUM('6. Rahavood'!O8:O12)</f>
        <v>0</v>
      </c>
      <c r="P20" s="306">
        <f>SUM('6. Rahavood'!P8:P12)</f>
        <v>0</v>
      </c>
      <c r="Q20" s="306">
        <f>SUM('6. Rahavood'!Q8:Q12)</f>
        <v>0</v>
      </c>
    </row>
    <row r="21" spans="1:35" ht="4.5" customHeight="1" x14ac:dyDescent="0.35">
      <c r="A21" s="259"/>
      <c r="B21" s="260"/>
      <c r="C21" s="258"/>
      <c r="D21" s="258"/>
      <c r="E21" s="258"/>
      <c r="F21" s="258"/>
      <c r="G21" s="258"/>
      <c r="H21" s="258"/>
      <c r="I21" s="258"/>
      <c r="J21" s="258"/>
      <c r="K21" s="258"/>
      <c r="L21" s="258"/>
      <c r="M21" s="258"/>
      <c r="N21" s="258"/>
      <c r="O21" s="258"/>
      <c r="P21" s="258"/>
      <c r="Q21" s="258"/>
    </row>
    <row r="22" spans="1:35" s="250" customFormat="1" ht="22.5" customHeight="1" x14ac:dyDescent="0.35">
      <c r="A22" s="309" t="s">
        <v>184</v>
      </c>
      <c r="B22" s="310" t="s">
        <v>3</v>
      </c>
      <c r="C22" s="311">
        <f t="shared" ref="C22:Q22" si="4">SUM(C16:C20)</f>
        <v>0</v>
      </c>
      <c r="D22" s="311">
        <f t="shared" si="4"/>
        <v>0</v>
      </c>
      <c r="E22" s="311">
        <f t="shared" si="4"/>
        <v>62445.095704666666</v>
      </c>
      <c r="F22" s="311">
        <f t="shared" si="4"/>
        <v>153400.93111400001</v>
      </c>
      <c r="G22" s="311">
        <f t="shared" si="4"/>
        <v>153400.93111400001</v>
      </c>
      <c r="H22" s="311">
        <f t="shared" si="4"/>
        <v>153610.04336800001</v>
      </c>
      <c r="I22" s="311">
        <f t="shared" si="4"/>
        <v>153610.04336800001</v>
      </c>
      <c r="J22" s="311">
        <f t="shared" si="4"/>
        <v>153610.04336800001</v>
      </c>
      <c r="K22" s="311">
        <f t="shared" si="4"/>
        <v>153610.04336800001</v>
      </c>
      <c r="L22" s="311">
        <f t="shared" si="4"/>
        <v>193923.15562199999</v>
      </c>
      <c r="M22" s="311">
        <f t="shared" si="4"/>
        <v>171923.15562199999</v>
      </c>
      <c r="N22" s="311">
        <f t="shared" si="4"/>
        <v>183923.15562199999</v>
      </c>
      <c r="O22" s="311">
        <f t="shared" si="4"/>
        <v>183923.15562199999</v>
      </c>
      <c r="P22" s="311">
        <f t="shared" si="4"/>
        <v>179923.15562199999</v>
      </c>
      <c r="Q22" s="311">
        <f t="shared" si="4"/>
        <v>207923.15562199999</v>
      </c>
      <c r="R22" s="3"/>
      <c r="S22" s="3"/>
      <c r="T22" s="3"/>
      <c r="U22" s="3"/>
      <c r="V22" s="3"/>
      <c r="W22" s="3"/>
      <c r="X22" s="3"/>
      <c r="Y22" s="3"/>
      <c r="Z22" s="3"/>
      <c r="AA22" s="3"/>
      <c r="AB22" s="3"/>
      <c r="AC22" s="3"/>
      <c r="AD22" s="3"/>
      <c r="AE22" s="3"/>
      <c r="AF22" s="3"/>
      <c r="AG22" s="3"/>
      <c r="AH22" s="3"/>
      <c r="AI22" s="3"/>
    </row>
    <row r="23" spans="1:35" s="250" customFormat="1" ht="4.5" customHeight="1" x14ac:dyDescent="0.35">
      <c r="A23" s="251"/>
      <c r="B23" s="246"/>
      <c r="C23" s="252"/>
      <c r="D23" s="252"/>
      <c r="E23" s="252"/>
      <c r="F23" s="252"/>
      <c r="G23" s="252"/>
      <c r="H23" s="252"/>
      <c r="I23" s="252"/>
      <c r="J23" s="252"/>
      <c r="K23" s="252"/>
      <c r="L23" s="252"/>
      <c r="M23" s="252"/>
      <c r="N23" s="252"/>
      <c r="O23" s="252"/>
      <c r="P23" s="252"/>
      <c r="Q23" s="253"/>
      <c r="R23" s="3"/>
      <c r="S23" s="3"/>
      <c r="T23" s="3"/>
      <c r="U23" s="3"/>
      <c r="V23" s="3"/>
      <c r="W23" s="3"/>
      <c r="X23" s="3"/>
      <c r="Y23" s="3"/>
      <c r="Z23" s="3"/>
      <c r="AA23" s="3"/>
      <c r="AB23" s="3"/>
      <c r="AC23" s="3"/>
      <c r="AD23" s="3"/>
      <c r="AE23" s="3"/>
      <c r="AF23" s="3"/>
      <c r="AG23" s="3"/>
      <c r="AH23" s="3"/>
      <c r="AI23" s="3"/>
    </row>
    <row r="24" spans="1:35" s="250" customFormat="1" ht="9" customHeight="1" x14ac:dyDescent="0.35">
      <c r="A24" s="261"/>
      <c r="B24" s="255"/>
      <c r="C24" s="262"/>
      <c r="D24" s="262"/>
      <c r="E24" s="262"/>
      <c r="F24" s="262"/>
      <c r="G24" s="262"/>
      <c r="H24" s="262"/>
      <c r="I24" s="262"/>
      <c r="J24" s="262"/>
      <c r="K24" s="262"/>
      <c r="L24" s="262"/>
      <c r="M24" s="262"/>
      <c r="N24" s="262"/>
      <c r="O24" s="262"/>
      <c r="P24" s="262"/>
      <c r="Q24" s="276"/>
      <c r="R24" s="3"/>
      <c r="S24" s="3"/>
      <c r="T24" s="3"/>
      <c r="U24" s="3"/>
      <c r="V24" s="3"/>
      <c r="W24" s="3"/>
      <c r="X24" s="3"/>
      <c r="Y24" s="3"/>
      <c r="Z24" s="3"/>
      <c r="AA24" s="3"/>
      <c r="AB24" s="3"/>
      <c r="AC24" s="3"/>
      <c r="AD24" s="3"/>
      <c r="AE24" s="3"/>
      <c r="AF24" s="3"/>
      <c r="AG24" s="3"/>
      <c r="AH24" s="3"/>
      <c r="AI24" s="3"/>
    </row>
    <row r="25" spans="1:35" s="266" customFormat="1" ht="33" customHeight="1" x14ac:dyDescent="0.35">
      <c r="A25" s="312" t="s">
        <v>185</v>
      </c>
      <c r="B25" s="313" t="s">
        <v>3</v>
      </c>
      <c r="C25" s="314">
        <f t="shared" ref="C25:Q25" si="5">C11-C22</f>
        <v>0</v>
      </c>
      <c r="D25" s="314">
        <f t="shared" si="5"/>
        <v>0</v>
      </c>
      <c r="E25" s="314">
        <f t="shared" si="5"/>
        <v>-25754.441490800993</v>
      </c>
      <c r="F25" s="314">
        <f t="shared" si="5"/>
        <v>-43328.968472402994</v>
      </c>
      <c r="G25" s="314">
        <f t="shared" si="5"/>
        <v>-43328.968472402994</v>
      </c>
      <c r="H25" s="314">
        <f t="shared" si="5"/>
        <v>-5808.1191050415509</v>
      </c>
      <c r="I25" s="314">
        <f t="shared" si="5"/>
        <v>-5808.1191050415509</v>
      </c>
      <c r="J25" s="314">
        <f t="shared" si="5"/>
        <v>-5808.1191050415509</v>
      </c>
      <c r="K25" s="314">
        <f t="shared" si="5"/>
        <v>-5808.1191050415509</v>
      </c>
      <c r="L25" s="314">
        <f t="shared" si="5"/>
        <v>-8363.9762221841956</v>
      </c>
      <c r="M25" s="314">
        <f t="shared" si="5"/>
        <v>13636.023777815804</v>
      </c>
      <c r="N25" s="314">
        <f t="shared" si="5"/>
        <v>1636.0237778158044</v>
      </c>
      <c r="O25" s="314">
        <f t="shared" si="5"/>
        <v>1636.0237778158044</v>
      </c>
      <c r="P25" s="314">
        <f t="shared" si="5"/>
        <v>5636.0237778158044</v>
      </c>
      <c r="Q25" s="314">
        <f t="shared" si="5"/>
        <v>-22363.976222184196</v>
      </c>
      <c r="R25" s="265"/>
      <c r="S25" s="265"/>
      <c r="T25" s="265"/>
      <c r="U25" s="265"/>
      <c r="V25" s="265"/>
      <c r="W25" s="265"/>
      <c r="X25" s="265"/>
      <c r="Y25" s="265"/>
      <c r="Z25" s="265"/>
      <c r="AA25" s="265"/>
      <c r="AB25" s="265"/>
      <c r="AC25" s="265"/>
      <c r="AD25" s="265"/>
      <c r="AE25" s="265"/>
      <c r="AF25" s="265"/>
      <c r="AG25" s="265"/>
      <c r="AH25" s="265"/>
      <c r="AI25" s="265"/>
    </row>
    <row r="26" spans="1:35" ht="4.5" customHeight="1" x14ac:dyDescent="0.35">
      <c r="A26" s="238"/>
      <c r="B26" s="246"/>
      <c r="C26" s="18"/>
      <c r="D26" s="18"/>
      <c r="E26" s="18"/>
      <c r="F26" s="18"/>
      <c r="G26" s="18"/>
      <c r="H26" s="18"/>
      <c r="I26" s="18"/>
      <c r="J26" s="18"/>
      <c r="K26" s="18"/>
      <c r="L26" s="18"/>
      <c r="M26" s="18"/>
      <c r="N26" s="18"/>
      <c r="O26" s="18"/>
      <c r="P26" s="18"/>
      <c r="Q26" s="18"/>
    </row>
    <row r="28" spans="1:35" ht="16.5" customHeight="1" x14ac:dyDescent="0.35">
      <c r="A28" s="815" t="s">
        <v>186</v>
      </c>
      <c r="B28" s="815"/>
      <c r="C28" s="816">
        <f>'5. Abikõlblik kulu'!C3</f>
        <v>0.04</v>
      </c>
      <c r="D28" s="816"/>
    </row>
    <row r="29" spans="1:35" ht="18.75" customHeight="1" x14ac:dyDescent="0.35">
      <c r="A29" s="815" t="s">
        <v>187</v>
      </c>
      <c r="B29" s="815"/>
      <c r="C29" s="817">
        <f>NPV(C28,C25:Q25)</f>
        <v>-116826.77083403383</v>
      </c>
      <c r="D29" s="817"/>
    </row>
    <row r="30" spans="1:35" ht="18.75" customHeight="1" x14ac:dyDescent="0.35">
      <c r="A30" s="815" t="s">
        <v>188</v>
      </c>
      <c r="B30" s="815"/>
      <c r="C30" s="816" t="e">
        <f>IRR(C25:Q25,J30)</f>
        <v>#NUM!</v>
      </c>
      <c r="D30" s="818"/>
      <c r="I30" s="72" t="s">
        <v>189</v>
      </c>
      <c r="J30" s="315">
        <v>-0.09</v>
      </c>
    </row>
    <row r="33" spans="1:17" ht="18.5" x14ac:dyDescent="0.35">
      <c r="A33" s="295" t="s">
        <v>190</v>
      </c>
      <c r="H33" s="296" t="s">
        <v>191</v>
      </c>
    </row>
    <row r="35" spans="1:17" ht="21" customHeight="1" x14ac:dyDescent="0.35">
      <c r="A35" s="233"/>
      <c r="B35" s="234"/>
      <c r="C35" s="297">
        <f>C3</f>
        <v>2024</v>
      </c>
      <c r="D35" s="297">
        <f>C35+1</f>
        <v>2025</v>
      </c>
      <c r="E35" s="297">
        <f t="shared" ref="E35:O35" si="6">D35+1</f>
        <v>2026</v>
      </c>
      <c r="F35" s="297">
        <f t="shared" si="6"/>
        <v>2027</v>
      </c>
      <c r="G35" s="297">
        <f t="shared" si="6"/>
        <v>2028</v>
      </c>
      <c r="H35" s="297">
        <f t="shared" si="6"/>
        <v>2029</v>
      </c>
      <c r="I35" s="297">
        <f t="shared" si="6"/>
        <v>2030</v>
      </c>
      <c r="J35" s="297">
        <f t="shared" si="6"/>
        <v>2031</v>
      </c>
      <c r="K35" s="297">
        <f t="shared" si="6"/>
        <v>2032</v>
      </c>
      <c r="L35" s="297">
        <f t="shared" si="6"/>
        <v>2033</v>
      </c>
      <c r="M35" s="297">
        <f t="shared" si="6"/>
        <v>2034</v>
      </c>
      <c r="N35" s="297">
        <f t="shared" si="6"/>
        <v>2035</v>
      </c>
      <c r="O35" s="297">
        <f t="shared" si="6"/>
        <v>2036</v>
      </c>
      <c r="P35" s="297">
        <f t="shared" ref="P35" si="7">O35+1</f>
        <v>2037</v>
      </c>
      <c r="Q35" s="297">
        <f t="shared" ref="Q35" si="8">P35+1</f>
        <v>2038</v>
      </c>
    </row>
    <row r="36" spans="1:17" ht="4.5" customHeight="1" x14ac:dyDescent="0.35">
      <c r="A36" s="238"/>
      <c r="B36" s="239"/>
      <c r="C36" s="299"/>
      <c r="D36" s="299"/>
      <c r="E36" s="299"/>
      <c r="F36" s="299"/>
      <c r="G36" s="299"/>
      <c r="H36" s="299"/>
      <c r="I36" s="299"/>
      <c r="J36" s="299"/>
      <c r="K36" s="299"/>
      <c r="L36" s="299"/>
      <c r="M36" s="299"/>
      <c r="N36" s="299"/>
      <c r="O36" s="299"/>
      <c r="P36" s="299"/>
      <c r="Q36" s="300"/>
    </row>
    <row r="37" spans="1:17" ht="15.5" x14ac:dyDescent="0.35">
      <c r="A37" s="302" t="s">
        <v>176</v>
      </c>
      <c r="B37" s="303" t="s">
        <v>2</v>
      </c>
      <c r="C37" s="72"/>
      <c r="D37" s="72"/>
      <c r="E37" s="72"/>
      <c r="F37" s="72"/>
      <c r="G37" s="72"/>
      <c r="H37" s="72"/>
      <c r="I37" s="72"/>
      <c r="J37" s="72"/>
      <c r="K37" s="72"/>
      <c r="L37" s="72"/>
      <c r="M37" s="72"/>
      <c r="N37" s="72"/>
      <c r="O37" s="72"/>
      <c r="P37" s="72"/>
      <c r="Q37" s="72"/>
    </row>
    <row r="38" spans="1:17" ht="4.5" customHeight="1" x14ac:dyDescent="0.35">
      <c r="A38" s="240"/>
      <c r="B38" s="239"/>
      <c r="C38" s="74"/>
      <c r="D38" s="74"/>
      <c r="E38" s="74"/>
      <c r="F38" s="74"/>
      <c r="G38" s="74"/>
      <c r="H38" s="74"/>
      <c r="I38" s="74"/>
      <c r="J38" s="74"/>
      <c r="K38" s="74"/>
      <c r="L38" s="74"/>
      <c r="M38" s="74"/>
      <c r="N38" s="74"/>
      <c r="O38" s="74"/>
      <c r="P38" s="74"/>
      <c r="Q38" s="134"/>
    </row>
    <row r="39" spans="1:17" x14ac:dyDescent="0.35">
      <c r="A39" s="304" t="str">
        <f>A7</f>
        <v>Lisanduvad (juurdekasvulised) tulud</v>
      </c>
      <c r="B39" s="305" t="s">
        <v>3</v>
      </c>
      <c r="C39" s="306">
        <f>'4. Lisanduvad tulud-kulud'!D53</f>
        <v>0</v>
      </c>
      <c r="D39" s="306">
        <f>'4. Lisanduvad tulud-kulud'!E53</f>
        <v>0</v>
      </c>
      <c r="E39" s="306">
        <f>'4. Lisanduvad tulud-kulud'!F53</f>
        <v>36690.654213865673</v>
      </c>
      <c r="F39" s="306">
        <f>'4. Lisanduvad tulud-kulud'!G53</f>
        <v>110071.96264159701</v>
      </c>
      <c r="G39" s="306">
        <f>'4. Lisanduvad tulud-kulud'!H53</f>
        <v>110071.96264159701</v>
      </c>
      <c r="H39" s="306">
        <f>'4. Lisanduvad tulud-kulud'!I53</f>
        <v>147801.92426295846</v>
      </c>
      <c r="I39" s="306">
        <f>'4. Lisanduvad tulud-kulud'!J53</f>
        <v>147801.92426295846</v>
      </c>
      <c r="J39" s="306">
        <f>'4. Lisanduvad tulud-kulud'!K53</f>
        <v>147801.92426295846</v>
      </c>
      <c r="K39" s="306">
        <f>'4. Lisanduvad tulud-kulud'!L53</f>
        <v>147801.92426295846</v>
      </c>
      <c r="L39" s="306">
        <f>'4. Lisanduvad tulud-kulud'!M53</f>
        <v>185559.1793998158</v>
      </c>
      <c r="M39" s="306">
        <f>'4. Lisanduvad tulud-kulud'!N53</f>
        <v>185559.1793998158</v>
      </c>
      <c r="N39" s="306">
        <f>'4. Lisanduvad tulud-kulud'!O53</f>
        <v>185559.1793998158</v>
      </c>
      <c r="O39" s="306">
        <f>'4. Lisanduvad tulud-kulud'!P53</f>
        <v>185559.1793998158</v>
      </c>
      <c r="P39" s="306">
        <f>'4. Lisanduvad tulud-kulud'!Q53</f>
        <v>185559.1793998158</v>
      </c>
      <c r="Q39" s="306">
        <f>'4. Lisanduvad tulud-kulud'!R53</f>
        <v>185559.1793998158</v>
      </c>
    </row>
    <row r="40" spans="1:17" ht="4.5" customHeight="1" x14ac:dyDescent="0.35">
      <c r="A40" s="238"/>
      <c r="B40" s="246"/>
      <c r="C40" s="18"/>
      <c r="D40" s="18"/>
      <c r="E40" s="18"/>
      <c r="F40" s="18"/>
      <c r="G40" s="18"/>
      <c r="H40" s="18"/>
      <c r="I40" s="18"/>
      <c r="J40" s="18"/>
      <c r="K40" s="18"/>
      <c r="L40" s="18"/>
      <c r="M40" s="18"/>
      <c r="N40" s="18"/>
      <c r="O40" s="18"/>
      <c r="P40" s="18"/>
      <c r="Q40" s="19"/>
    </row>
    <row r="41" spans="1:17" ht="15.5" x14ac:dyDescent="0.35">
      <c r="A41" s="309" t="s">
        <v>179</v>
      </c>
      <c r="B41" s="310" t="s">
        <v>3</v>
      </c>
      <c r="C41" s="311">
        <f t="shared" ref="C41:Q41" si="9">SUM(C39:C39)</f>
        <v>0</v>
      </c>
      <c r="D41" s="311">
        <f t="shared" si="9"/>
        <v>0</v>
      </c>
      <c r="E41" s="311">
        <f t="shared" si="9"/>
        <v>36690.654213865673</v>
      </c>
      <c r="F41" s="311">
        <f t="shared" si="9"/>
        <v>110071.96264159701</v>
      </c>
      <c r="G41" s="311">
        <f t="shared" si="9"/>
        <v>110071.96264159701</v>
      </c>
      <c r="H41" s="311">
        <f t="shared" si="9"/>
        <v>147801.92426295846</v>
      </c>
      <c r="I41" s="311">
        <f t="shared" si="9"/>
        <v>147801.92426295846</v>
      </c>
      <c r="J41" s="311">
        <f t="shared" si="9"/>
        <v>147801.92426295846</v>
      </c>
      <c r="K41" s="311">
        <f t="shared" si="9"/>
        <v>147801.92426295846</v>
      </c>
      <c r="L41" s="311">
        <f t="shared" si="9"/>
        <v>185559.1793998158</v>
      </c>
      <c r="M41" s="311">
        <f t="shared" si="9"/>
        <v>185559.1793998158</v>
      </c>
      <c r="N41" s="311">
        <f t="shared" si="9"/>
        <v>185559.1793998158</v>
      </c>
      <c r="O41" s="311">
        <f t="shared" si="9"/>
        <v>185559.1793998158</v>
      </c>
      <c r="P41" s="311">
        <f t="shared" si="9"/>
        <v>185559.1793998158</v>
      </c>
      <c r="Q41" s="311">
        <f t="shared" si="9"/>
        <v>185559.1793998158</v>
      </c>
    </row>
    <row r="42" spans="1:17" ht="4.5" customHeight="1" x14ac:dyDescent="0.35">
      <c r="A42" s="251"/>
      <c r="B42" s="246"/>
      <c r="C42" s="252"/>
      <c r="D42" s="252"/>
      <c r="E42" s="252"/>
      <c r="F42" s="252"/>
      <c r="G42" s="252"/>
      <c r="H42" s="252"/>
      <c r="I42" s="252"/>
      <c r="J42" s="252"/>
      <c r="K42" s="252"/>
      <c r="L42" s="252"/>
      <c r="M42" s="252"/>
      <c r="N42" s="252"/>
      <c r="O42" s="252"/>
      <c r="P42" s="252"/>
      <c r="Q42" s="253"/>
    </row>
    <row r="43" spans="1:17" x14ac:dyDescent="0.35">
      <c r="A43" s="254"/>
      <c r="B43" s="255"/>
      <c r="C43" s="256"/>
      <c r="D43" s="256"/>
      <c r="E43" s="256"/>
      <c r="F43" s="256"/>
      <c r="G43" s="256"/>
      <c r="H43" s="256"/>
      <c r="I43" s="256"/>
      <c r="J43" s="256"/>
      <c r="K43" s="256"/>
      <c r="L43" s="256"/>
      <c r="M43" s="256"/>
      <c r="N43" s="256"/>
      <c r="O43" s="256"/>
      <c r="P43" s="256"/>
      <c r="Q43" s="256"/>
    </row>
    <row r="44" spans="1:17" ht="15.5" x14ac:dyDescent="0.35">
      <c r="A44" s="302" t="s">
        <v>180</v>
      </c>
      <c r="B44" s="257"/>
      <c r="C44" s="11"/>
      <c r="D44" s="11"/>
      <c r="E44" s="11"/>
      <c r="F44" s="11"/>
      <c r="G44" s="11"/>
      <c r="H44" s="11"/>
      <c r="I44" s="11"/>
      <c r="J44" s="11"/>
      <c r="K44" s="11"/>
      <c r="L44" s="11"/>
      <c r="M44" s="11"/>
      <c r="N44" s="11"/>
      <c r="O44" s="11"/>
      <c r="P44" s="11"/>
      <c r="Q44" s="11"/>
    </row>
    <row r="45" spans="1:17" ht="4.5" customHeight="1" x14ac:dyDescent="0.35">
      <c r="A45" s="240"/>
      <c r="B45" s="246"/>
      <c r="C45" s="18"/>
      <c r="D45" s="18"/>
      <c r="E45" s="18"/>
      <c r="F45" s="18"/>
      <c r="G45" s="18"/>
      <c r="H45" s="18"/>
      <c r="I45" s="18"/>
      <c r="J45" s="18"/>
      <c r="K45" s="18"/>
      <c r="L45" s="18"/>
      <c r="M45" s="18"/>
      <c r="N45" s="18"/>
      <c r="O45" s="18"/>
      <c r="P45" s="18"/>
      <c r="Q45" s="19"/>
    </row>
    <row r="46" spans="1:17" x14ac:dyDescent="0.35">
      <c r="A46" s="307" t="str">
        <f>A16</f>
        <v>Lisanduvad (juurdekasvulised) kulud</v>
      </c>
      <c r="B46" s="305" t="s">
        <v>3</v>
      </c>
      <c r="C46" s="306">
        <f>'4. Lisanduvad tulud-kulud'!D118</f>
        <v>0</v>
      </c>
      <c r="D46" s="306">
        <f>'4. Lisanduvad tulud-kulud'!E118</f>
        <v>0</v>
      </c>
      <c r="E46" s="306">
        <f>'4. Lisanduvad tulud-kulud'!F118</f>
        <v>62445.095704666666</v>
      </c>
      <c r="F46" s="306">
        <f>'4. Lisanduvad tulud-kulud'!G118</f>
        <v>153400.93111400001</v>
      </c>
      <c r="G46" s="306">
        <f>'4. Lisanduvad tulud-kulud'!H118</f>
        <v>153400.93111400001</v>
      </c>
      <c r="H46" s="306">
        <f>'4. Lisanduvad tulud-kulud'!I118</f>
        <v>153610.04336800001</v>
      </c>
      <c r="I46" s="306">
        <f>'4. Lisanduvad tulud-kulud'!J118</f>
        <v>153610.04336800001</v>
      </c>
      <c r="J46" s="306">
        <f>'4. Lisanduvad tulud-kulud'!K118</f>
        <v>153610.04336800001</v>
      </c>
      <c r="K46" s="306">
        <f>'4. Lisanduvad tulud-kulud'!L118</f>
        <v>153610.04336800001</v>
      </c>
      <c r="L46" s="306">
        <f>'4. Lisanduvad tulud-kulud'!M118</f>
        <v>153923.15562199999</v>
      </c>
      <c r="M46" s="306">
        <f>'4. Lisanduvad tulud-kulud'!N118</f>
        <v>153923.15562199999</v>
      </c>
      <c r="N46" s="306">
        <f>'4. Lisanduvad tulud-kulud'!O118</f>
        <v>153923.15562199999</v>
      </c>
      <c r="O46" s="306">
        <f>'4. Lisanduvad tulud-kulud'!P118</f>
        <v>153923.15562199999</v>
      </c>
      <c r="P46" s="306">
        <f>'4. Lisanduvad tulud-kulud'!Q118</f>
        <v>153923.15562199999</v>
      </c>
      <c r="Q46" s="306">
        <f>'4. Lisanduvad tulud-kulud'!R118</f>
        <v>189923.15562199999</v>
      </c>
    </row>
    <row r="47" spans="1:17" x14ac:dyDescent="0.35">
      <c r="A47" s="307" t="s">
        <v>192</v>
      </c>
      <c r="B47" s="305" t="s">
        <v>3</v>
      </c>
      <c r="C47" s="306">
        <f>'1. Projekti elluviimise kulud'!D19</f>
        <v>50000</v>
      </c>
      <c r="D47" s="306">
        <f>'1. Projekti elluviimise kulud'!E19</f>
        <v>3100000</v>
      </c>
      <c r="E47" s="306">
        <f>'1. Projekti elluviimise kulud'!F19</f>
        <v>122000</v>
      </c>
      <c r="F47" s="306">
        <f>'1. Projekti elluviimise kulud'!G19</f>
        <v>0</v>
      </c>
      <c r="G47" s="306">
        <f>'1. Projekti elluviimise kulud'!H19</f>
        <v>0</v>
      </c>
      <c r="H47" s="306">
        <f>'1. Projekti elluviimise kulud'!I19</f>
        <v>0</v>
      </c>
      <c r="I47" s="258"/>
      <c r="J47" s="258"/>
      <c r="K47" s="258"/>
      <c r="L47" s="258"/>
      <c r="M47" s="258"/>
      <c r="N47" s="258"/>
      <c r="O47" s="258"/>
      <c r="P47" s="258"/>
      <c r="Q47" s="258"/>
    </row>
    <row r="48" spans="1:17" x14ac:dyDescent="0.35">
      <c r="A48" s="307" t="s">
        <v>178</v>
      </c>
      <c r="B48" s="305" t="s">
        <v>3</v>
      </c>
      <c r="C48" s="258"/>
      <c r="D48" s="258"/>
      <c r="E48" s="258"/>
      <c r="F48" s="258"/>
      <c r="G48" s="258"/>
      <c r="H48" s="258"/>
      <c r="I48" s="258"/>
      <c r="J48" s="258"/>
      <c r="K48" s="258"/>
      <c r="L48" s="258"/>
      <c r="M48" s="258"/>
      <c r="N48" s="258"/>
      <c r="O48" s="258"/>
      <c r="P48" s="258"/>
      <c r="Q48" s="306">
        <f>-Q8</f>
        <v>0</v>
      </c>
    </row>
    <row r="49" spans="1:17" ht="4.5" customHeight="1" x14ac:dyDescent="0.35">
      <c r="A49" s="259"/>
      <c r="B49" s="260"/>
      <c r="C49" s="258"/>
      <c r="D49" s="258"/>
      <c r="E49" s="258"/>
      <c r="F49" s="258"/>
      <c r="G49" s="258"/>
      <c r="H49" s="258"/>
      <c r="I49" s="258"/>
      <c r="J49" s="258"/>
      <c r="K49" s="258"/>
      <c r="L49" s="258"/>
      <c r="M49" s="258"/>
      <c r="N49" s="258"/>
      <c r="O49" s="258"/>
      <c r="P49" s="258"/>
      <c r="Q49" s="258"/>
    </row>
    <row r="50" spans="1:17" ht="15.5" x14ac:dyDescent="0.35">
      <c r="A50" s="309" t="s">
        <v>184</v>
      </c>
      <c r="B50" s="310" t="s">
        <v>3</v>
      </c>
      <c r="C50" s="311">
        <f t="shared" ref="C50:Q50" si="10">SUM(C46:C48)</f>
        <v>50000</v>
      </c>
      <c r="D50" s="311">
        <f t="shared" si="10"/>
        <v>3100000</v>
      </c>
      <c r="E50" s="311">
        <f t="shared" si="10"/>
        <v>184445.09570466666</v>
      </c>
      <c r="F50" s="311">
        <f t="shared" si="10"/>
        <v>153400.93111400001</v>
      </c>
      <c r="G50" s="311">
        <f t="shared" si="10"/>
        <v>153400.93111400001</v>
      </c>
      <c r="H50" s="311">
        <f t="shared" si="10"/>
        <v>153610.04336800001</v>
      </c>
      <c r="I50" s="311">
        <f t="shared" si="10"/>
        <v>153610.04336800001</v>
      </c>
      <c r="J50" s="311">
        <f t="shared" si="10"/>
        <v>153610.04336800001</v>
      </c>
      <c r="K50" s="311">
        <f t="shared" si="10"/>
        <v>153610.04336800001</v>
      </c>
      <c r="L50" s="311">
        <f t="shared" si="10"/>
        <v>153923.15562199999</v>
      </c>
      <c r="M50" s="311">
        <f t="shared" si="10"/>
        <v>153923.15562199999</v>
      </c>
      <c r="N50" s="311">
        <f t="shared" si="10"/>
        <v>153923.15562199999</v>
      </c>
      <c r="O50" s="311">
        <f t="shared" si="10"/>
        <v>153923.15562199999</v>
      </c>
      <c r="P50" s="311">
        <f t="shared" si="10"/>
        <v>153923.15562199999</v>
      </c>
      <c r="Q50" s="311">
        <f t="shared" si="10"/>
        <v>189923.15562199999</v>
      </c>
    </row>
    <row r="51" spans="1:17" ht="4.5" customHeight="1" x14ac:dyDescent="0.35">
      <c r="A51" s="251"/>
      <c r="B51" s="246"/>
      <c r="C51" s="252"/>
      <c r="D51" s="252"/>
      <c r="E51" s="252"/>
      <c r="F51" s="252"/>
      <c r="G51" s="252"/>
      <c r="H51" s="252"/>
      <c r="I51" s="252"/>
      <c r="J51" s="252"/>
      <c r="K51" s="252"/>
      <c r="L51" s="252"/>
      <c r="M51" s="252"/>
      <c r="N51" s="252"/>
      <c r="O51" s="252"/>
      <c r="P51" s="252"/>
      <c r="Q51" s="253"/>
    </row>
    <row r="52" spans="1:17" ht="15.5" x14ac:dyDescent="0.35">
      <c r="A52" s="261"/>
      <c r="B52" s="255"/>
      <c r="C52" s="262"/>
      <c r="D52" s="262"/>
      <c r="E52" s="262"/>
      <c r="F52" s="262"/>
      <c r="G52" s="262"/>
      <c r="H52" s="262"/>
      <c r="I52" s="262"/>
      <c r="J52" s="262"/>
      <c r="K52" s="262"/>
      <c r="L52" s="262"/>
      <c r="M52" s="262"/>
      <c r="N52" s="262"/>
      <c r="O52" s="262"/>
      <c r="P52" s="262"/>
      <c r="Q52" s="276"/>
    </row>
    <row r="53" spans="1:17" ht="29" x14ac:dyDescent="0.35">
      <c r="A53" s="312" t="s">
        <v>185</v>
      </c>
      <c r="B53" s="313" t="s">
        <v>3</v>
      </c>
      <c r="C53" s="314">
        <f t="shared" ref="C53:Q53" si="11">C41-C50</f>
        <v>-50000</v>
      </c>
      <c r="D53" s="314">
        <f t="shared" si="11"/>
        <v>-3100000</v>
      </c>
      <c r="E53" s="314">
        <f t="shared" si="11"/>
        <v>-147754.44149080099</v>
      </c>
      <c r="F53" s="314">
        <f t="shared" si="11"/>
        <v>-43328.968472402994</v>
      </c>
      <c r="G53" s="314">
        <f t="shared" si="11"/>
        <v>-43328.968472402994</v>
      </c>
      <c r="H53" s="314">
        <f t="shared" si="11"/>
        <v>-5808.1191050415509</v>
      </c>
      <c r="I53" s="314">
        <f t="shared" si="11"/>
        <v>-5808.1191050415509</v>
      </c>
      <c r="J53" s="314">
        <f t="shared" si="11"/>
        <v>-5808.1191050415509</v>
      </c>
      <c r="K53" s="314">
        <f t="shared" si="11"/>
        <v>-5808.1191050415509</v>
      </c>
      <c r="L53" s="314">
        <f t="shared" si="11"/>
        <v>31636.023777815804</v>
      </c>
      <c r="M53" s="314">
        <f t="shared" si="11"/>
        <v>31636.023777815804</v>
      </c>
      <c r="N53" s="314">
        <f t="shared" si="11"/>
        <v>31636.023777815804</v>
      </c>
      <c r="O53" s="314">
        <f t="shared" si="11"/>
        <v>31636.023777815804</v>
      </c>
      <c r="P53" s="314">
        <f t="shared" si="11"/>
        <v>31636.023777815804</v>
      </c>
      <c r="Q53" s="314">
        <f t="shared" si="11"/>
        <v>-4363.9762221841956</v>
      </c>
    </row>
    <row r="54" spans="1:17" ht="4.5" customHeight="1" x14ac:dyDescent="0.35">
      <c r="A54" s="238"/>
      <c r="B54" s="246"/>
      <c r="C54" s="18"/>
      <c r="D54" s="18"/>
      <c r="E54" s="18"/>
      <c r="F54" s="18"/>
      <c r="G54" s="18"/>
      <c r="H54" s="18"/>
      <c r="I54" s="18"/>
      <c r="J54" s="18"/>
      <c r="K54" s="18"/>
      <c r="L54" s="18"/>
      <c r="M54" s="18"/>
      <c r="N54" s="18"/>
      <c r="O54" s="18"/>
      <c r="P54" s="18"/>
      <c r="Q54" s="18"/>
    </row>
    <row r="56" spans="1:17" x14ac:dyDescent="0.35">
      <c r="A56" s="815" t="s">
        <v>186</v>
      </c>
      <c r="B56" s="815"/>
      <c r="C56" s="816">
        <f>C28</f>
        <v>0.04</v>
      </c>
      <c r="D56" s="816"/>
    </row>
    <row r="57" spans="1:17" ht="34.5" customHeight="1" x14ac:dyDescent="0.35">
      <c r="A57" s="819" t="s">
        <v>193</v>
      </c>
      <c r="B57" s="819"/>
      <c r="C57" s="817">
        <f>NPV(C56,C53:Q53)</f>
        <v>-3039006.2392290188</v>
      </c>
      <c r="D57" s="817"/>
      <c r="H57"/>
      <c r="I57"/>
      <c r="J57"/>
      <c r="K57"/>
    </row>
    <row r="58" spans="1:17" ht="19.5" customHeight="1" x14ac:dyDescent="0.35">
      <c r="A58" s="815" t="s">
        <v>194</v>
      </c>
      <c r="B58" s="815"/>
      <c r="C58" s="816" t="e">
        <f>IRR(C53:Q53,J30)</f>
        <v>#NUM!</v>
      </c>
      <c r="D58" s="818"/>
      <c r="H58"/>
      <c r="I58"/>
      <c r="J58"/>
      <c r="K58"/>
    </row>
    <row r="59" spans="1:17" x14ac:dyDescent="0.35">
      <c r="H59"/>
      <c r="I59"/>
      <c r="J59"/>
      <c r="K59"/>
    </row>
    <row r="60" spans="1:17" x14ac:dyDescent="0.35">
      <c r="H60"/>
      <c r="I60"/>
      <c r="J60"/>
      <c r="K60"/>
    </row>
  </sheetData>
  <mergeCells count="12">
    <mergeCell ref="A56:B56"/>
    <mergeCell ref="C56:D56"/>
    <mergeCell ref="A57:B57"/>
    <mergeCell ref="C57:D57"/>
    <mergeCell ref="A58:B58"/>
    <mergeCell ref="C58:D58"/>
    <mergeCell ref="A28:B28"/>
    <mergeCell ref="C28:D28"/>
    <mergeCell ref="A29:B29"/>
    <mergeCell ref="C29:D29"/>
    <mergeCell ref="A30:B30"/>
    <mergeCell ref="C30:D30"/>
  </mergeCells>
  <pageMargins left="0.51181102362204722" right="0.31496062992125984" top="0.74803149606299213" bottom="0.55118110236220474" header="0.31496062992125984" footer="0.31496062992125984"/>
  <pageSetup paperSize="9" scale="90" orientation="landscape" r:id="rId1"/>
  <headerFooter>
    <oddHeader>&amp;L&amp;F&amp;C&amp;A&amp;RLk  &amp;P (&amp;N)</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G26"/>
  <sheetViews>
    <sheetView topLeftCell="A12" workbookViewId="0">
      <selection activeCell="D11" sqref="D11"/>
    </sheetView>
  </sheetViews>
  <sheetFormatPr defaultColWidth="9.1796875" defaultRowHeight="14.5" x14ac:dyDescent="0.35"/>
  <cols>
    <col min="1" max="1" width="9.1796875" style="1"/>
    <col min="2" max="2" width="34.81640625" style="71" customWidth="1"/>
    <col min="3" max="3" width="20.54296875" style="1" customWidth="1"/>
    <col min="4" max="4" width="20.7265625" style="1" customWidth="1"/>
    <col min="5" max="5" width="9.1796875" style="70"/>
    <col min="6" max="6" width="11.1796875" style="70" hidden="1" customWidth="1"/>
    <col min="7" max="16384" width="9.1796875" style="70"/>
  </cols>
  <sheetData>
    <row r="1" spans="1:7" ht="18.5" x14ac:dyDescent="0.35">
      <c r="A1" s="110" t="s">
        <v>77</v>
      </c>
    </row>
    <row r="2" spans="1:7" ht="18.5" x14ac:dyDescent="0.35">
      <c r="A2" s="101"/>
    </row>
    <row r="3" spans="1:7" ht="18.75" customHeight="1" x14ac:dyDescent="0.35">
      <c r="B3" s="116" t="s">
        <v>73</v>
      </c>
      <c r="C3" s="111">
        <v>0.04</v>
      </c>
    </row>
    <row r="4" spans="1:7" ht="18.75" customHeight="1" x14ac:dyDescent="0.35">
      <c r="B4" s="126" t="s">
        <v>100</v>
      </c>
      <c r="C4" s="127">
        <f>Esileht!B10</f>
        <v>2024</v>
      </c>
    </row>
    <row r="5" spans="1:7" ht="18.75" customHeight="1" x14ac:dyDescent="0.35">
      <c r="B5" s="126" t="s">
        <v>101</v>
      </c>
      <c r="C5" s="127">
        <f>Esileht!B11</f>
        <v>2038</v>
      </c>
    </row>
    <row r="6" spans="1:7" ht="18.75" customHeight="1" x14ac:dyDescent="0.35">
      <c r="B6" s="113" t="s">
        <v>102</v>
      </c>
      <c r="C6" s="112">
        <f>IF(C5&gt;0,C5-C4+1,"")</f>
        <v>15</v>
      </c>
      <c r="D6" s="71" t="s">
        <v>74</v>
      </c>
    </row>
    <row r="8" spans="1:7" ht="36.75" customHeight="1" x14ac:dyDescent="0.35">
      <c r="A8" s="112" t="s">
        <v>75</v>
      </c>
      <c r="B8" s="113" t="s">
        <v>76</v>
      </c>
      <c r="C8" s="114" t="s">
        <v>89</v>
      </c>
      <c r="D8" s="114" t="s">
        <v>90</v>
      </c>
    </row>
    <row r="9" spans="1:7" ht="21.75" customHeight="1" x14ac:dyDescent="0.35">
      <c r="A9" s="112">
        <v>1</v>
      </c>
      <c r="B9" s="117" t="s">
        <v>78</v>
      </c>
      <c r="C9" s="106">
        <f>'1. Projekti elluviimise kulud'!J19</f>
        <v>3272000</v>
      </c>
      <c r="D9" s="144">
        <f>NPV(C3,'1. Projekti elluviimise kulud'!D19:I19)</f>
        <v>3022658.7391898041</v>
      </c>
    </row>
    <row r="10" spans="1:7" ht="21.75" customHeight="1" x14ac:dyDescent="0.35">
      <c r="A10" s="112">
        <v>2</v>
      </c>
      <c r="B10" s="117" t="s">
        <v>79</v>
      </c>
      <c r="C10" s="106">
        <f>'8. Jääkväärtus'!Q14</f>
        <v>0</v>
      </c>
      <c r="D10" s="144">
        <f>'8. Jääkväärtus'!C17</f>
        <v>0</v>
      </c>
      <c r="G10" s="360" t="str">
        <f>'8. Jääkväärtus'!C9</f>
        <v>Jääkväärtust ei ole vaja arvutada</v>
      </c>
    </row>
    <row r="11" spans="1:7" ht="21.75" customHeight="1" x14ac:dyDescent="0.35">
      <c r="A11" s="112">
        <v>3</v>
      </c>
      <c r="B11" s="117" t="s">
        <v>80</v>
      </c>
      <c r="C11" s="108"/>
      <c r="D11" s="144">
        <f>NPV(C3,'4. Lisanduvad tulud-kulud'!D53:R53)</f>
        <v>1341572.1912790602</v>
      </c>
      <c r="G11" s="703"/>
    </row>
    <row r="12" spans="1:7" ht="21.75" customHeight="1" x14ac:dyDescent="0.35">
      <c r="A12" s="112">
        <v>4</v>
      </c>
      <c r="B12" s="117" t="s">
        <v>81</v>
      </c>
      <c r="C12" s="108"/>
      <c r="D12" s="144">
        <f>NPV(C3,'4. Lisanduvad tulud-kulud'!D118:R118)</f>
        <v>1357919.6913182752</v>
      </c>
      <c r="F12" s="128">
        <f>D10+D11-D12</f>
        <v>-16347.500039214967</v>
      </c>
      <c r="G12" s="703"/>
    </row>
    <row r="13" spans="1:7" ht="21.75" customHeight="1" x14ac:dyDescent="0.35">
      <c r="A13" s="112">
        <v>5</v>
      </c>
      <c r="B13" s="117" t="s">
        <v>82</v>
      </c>
      <c r="C13" s="108"/>
      <c r="D13" s="721">
        <f>IF((D10+D11-D12)&lt;0,0,D10+D11-D12)</f>
        <v>0</v>
      </c>
      <c r="F13" s="128">
        <f>NPV(C3,'4. Lisanduvad tulud-kulud'!D121:R121)</f>
        <v>-16347.500039214876</v>
      </c>
      <c r="G13" s="703"/>
    </row>
    <row r="14" spans="1:7" ht="21.75" customHeight="1" x14ac:dyDescent="0.35">
      <c r="A14" s="112">
        <v>6</v>
      </c>
      <c r="B14" s="117" t="s">
        <v>83</v>
      </c>
      <c r="C14" s="108"/>
      <c r="D14" s="144">
        <f>D9-D13</f>
        <v>3022658.7391898041</v>
      </c>
    </row>
    <row r="15" spans="1:7" ht="21.75" customHeight="1" x14ac:dyDescent="0.35">
      <c r="A15" s="112">
        <v>7</v>
      </c>
      <c r="B15" s="117" t="s">
        <v>84</v>
      </c>
      <c r="C15" s="108"/>
      <c r="D15" s="109">
        <f>D14/D9</f>
        <v>1</v>
      </c>
    </row>
    <row r="16" spans="1:7" ht="36.75" customHeight="1" x14ac:dyDescent="0.35">
      <c r="A16" s="112">
        <v>8</v>
      </c>
      <c r="B16" s="117" t="s">
        <v>85</v>
      </c>
      <c r="C16" s="106">
        <f>'1. Projekti elluviimise kulud'!J41</f>
        <v>3272000</v>
      </c>
      <c r="D16" s="108"/>
    </row>
    <row r="17" spans="1:4" ht="68.25" customHeight="1" x14ac:dyDescent="0.35">
      <c r="A17" s="112">
        <v>9</v>
      </c>
      <c r="B17" s="115" t="s">
        <v>88</v>
      </c>
      <c r="C17" s="106">
        <f>C16*D15</f>
        <v>3272000</v>
      </c>
      <c r="D17" s="108"/>
    </row>
    <row r="18" spans="1:4" ht="21.75" customHeight="1" x14ac:dyDescent="0.35">
      <c r="A18" s="112">
        <v>10</v>
      </c>
      <c r="B18" s="117" t="s">
        <v>86</v>
      </c>
      <c r="C18" s="107">
        <v>1</v>
      </c>
      <c r="D18" s="108"/>
    </row>
    <row r="19" spans="1:4" ht="24.75" customHeight="1" x14ac:dyDescent="0.35">
      <c r="A19" s="112">
        <v>11</v>
      </c>
      <c r="B19" s="117" t="s">
        <v>87</v>
      </c>
      <c r="C19" s="129">
        <f>C17*C18</f>
        <v>3272000</v>
      </c>
      <c r="D19" s="108"/>
    </row>
    <row r="20" spans="1:4" x14ac:dyDescent="0.35">
      <c r="B20" s="105"/>
      <c r="C20" s="104"/>
      <c r="D20" s="104"/>
    </row>
    <row r="21" spans="1:4" x14ac:dyDescent="0.35">
      <c r="B21" s="105"/>
      <c r="C21" s="104"/>
      <c r="D21" s="104"/>
    </row>
    <row r="22" spans="1:4" x14ac:dyDescent="0.35">
      <c r="B22" s="105"/>
      <c r="C22" s="104"/>
      <c r="D22" s="104"/>
    </row>
    <row r="23" spans="1:4" x14ac:dyDescent="0.35">
      <c r="B23" s="105"/>
      <c r="C23" s="104"/>
      <c r="D23" s="104"/>
    </row>
    <row r="24" spans="1:4" x14ac:dyDescent="0.35">
      <c r="B24" s="105"/>
      <c r="C24" s="104"/>
      <c r="D24" s="104"/>
    </row>
    <row r="25" spans="1:4" x14ac:dyDescent="0.35">
      <c r="B25" s="105"/>
      <c r="C25" s="104"/>
      <c r="D25" s="104"/>
    </row>
    <row r="26" spans="1:4" x14ac:dyDescent="0.35">
      <c r="B26" s="105"/>
      <c r="C26" s="104"/>
      <c r="D26" s="104"/>
    </row>
  </sheetData>
  <pageMargins left="0.70866141732283472" right="0.70866141732283472" top="0.74803149606299213" bottom="0.74803149606299213" header="0.31496062992125984" footer="0.31496062992125984"/>
  <pageSetup paperSize="9" scale="90" orientation="landscape" verticalDpi="0" r:id="rId1"/>
  <headerFooter>
    <oddHeader>&amp;L&amp;F&amp;C&amp;A&amp;RLk  &amp;P (&amp;N)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8FF89"/>
  </sheetPr>
  <dimension ref="A1:AI41"/>
  <sheetViews>
    <sheetView workbookViewId="0">
      <selection activeCell="S38" sqref="S38"/>
    </sheetView>
  </sheetViews>
  <sheetFormatPr defaultColWidth="9.1796875" defaultRowHeight="14.5" x14ac:dyDescent="0.35"/>
  <cols>
    <col min="1" max="1" width="37.81640625" style="71" customWidth="1"/>
    <col min="2" max="2" width="7.453125" style="232" customWidth="1"/>
    <col min="3" max="3" width="10" style="1" bestFit="1" customWidth="1"/>
    <col min="4" max="35" width="9.1796875" style="1"/>
    <col min="36" max="16384" width="9.1796875" style="70"/>
  </cols>
  <sheetData>
    <row r="1" spans="1:35" ht="18.5" x14ac:dyDescent="0.35">
      <c r="A1" s="231" t="s">
        <v>133</v>
      </c>
    </row>
    <row r="2" spans="1:35" ht="8.25" customHeight="1" x14ac:dyDescent="0.35"/>
    <row r="3" spans="1:35" s="237" customFormat="1" ht="23.25" customHeight="1" x14ac:dyDescent="0.35">
      <c r="A3" s="233"/>
      <c r="B3" s="234"/>
      <c r="C3" s="235">
        <f>'1. Projekti elluviimise kulud'!D2</f>
        <v>2024</v>
      </c>
      <c r="D3" s="235">
        <f>C3+1</f>
        <v>2025</v>
      </c>
      <c r="E3" s="235">
        <f t="shared" ref="E3:O3" si="0">D3+1</f>
        <v>2026</v>
      </c>
      <c r="F3" s="235">
        <f t="shared" si="0"/>
        <v>2027</v>
      </c>
      <c r="G3" s="235">
        <f t="shared" si="0"/>
        <v>2028</v>
      </c>
      <c r="H3" s="235">
        <f t="shared" si="0"/>
        <v>2029</v>
      </c>
      <c r="I3" s="235">
        <f t="shared" si="0"/>
        <v>2030</v>
      </c>
      <c r="J3" s="235">
        <f t="shared" si="0"/>
        <v>2031</v>
      </c>
      <c r="K3" s="235">
        <f t="shared" si="0"/>
        <v>2032</v>
      </c>
      <c r="L3" s="235">
        <f t="shared" si="0"/>
        <v>2033</v>
      </c>
      <c r="M3" s="235">
        <f t="shared" si="0"/>
        <v>2034</v>
      </c>
      <c r="N3" s="235">
        <f t="shared" si="0"/>
        <v>2035</v>
      </c>
      <c r="O3" s="235">
        <f t="shared" si="0"/>
        <v>2036</v>
      </c>
      <c r="P3" s="235">
        <f t="shared" ref="P3" si="1">O3+1</f>
        <v>2037</v>
      </c>
      <c r="Q3" s="235">
        <f t="shared" ref="Q3" si="2">P3+1</f>
        <v>2038</v>
      </c>
      <c r="R3" s="236"/>
      <c r="S3" s="236"/>
      <c r="T3" s="236"/>
      <c r="U3" s="236"/>
      <c r="V3" s="236"/>
      <c r="W3" s="236"/>
      <c r="X3" s="236"/>
      <c r="Y3" s="236"/>
      <c r="Z3" s="236"/>
      <c r="AA3" s="236"/>
      <c r="AB3" s="236"/>
      <c r="AC3" s="236"/>
      <c r="AD3" s="236"/>
      <c r="AE3" s="236"/>
      <c r="AF3" s="236"/>
      <c r="AG3" s="236"/>
      <c r="AH3" s="236"/>
      <c r="AI3" s="236"/>
    </row>
    <row r="4" spans="1:35" ht="4.5" customHeight="1" x14ac:dyDescent="0.35">
      <c r="A4" s="238"/>
      <c r="B4" s="239"/>
      <c r="C4" s="74"/>
      <c r="D4" s="74"/>
      <c r="E4" s="74"/>
      <c r="F4" s="74"/>
      <c r="G4" s="74"/>
      <c r="H4" s="74"/>
      <c r="I4" s="74"/>
      <c r="J4" s="74"/>
      <c r="K4" s="74"/>
      <c r="L4" s="74"/>
      <c r="M4" s="74"/>
      <c r="N4" s="74"/>
      <c r="O4" s="74"/>
      <c r="P4" s="74"/>
      <c r="Q4" s="134"/>
    </row>
    <row r="5" spans="1:35" ht="20.25" customHeight="1" x14ac:dyDescent="0.35">
      <c r="A5" s="233" t="s">
        <v>117</v>
      </c>
      <c r="B5" s="234" t="s">
        <v>2</v>
      </c>
      <c r="C5" s="72"/>
      <c r="D5" s="72"/>
      <c r="E5" s="72"/>
      <c r="F5" s="72"/>
      <c r="G5" s="72"/>
      <c r="H5" s="72"/>
      <c r="I5" s="72"/>
      <c r="J5" s="72"/>
      <c r="K5" s="72"/>
      <c r="L5" s="72"/>
      <c r="M5" s="72"/>
      <c r="N5" s="72"/>
      <c r="O5" s="72"/>
      <c r="P5" s="72"/>
      <c r="Q5" s="72"/>
    </row>
    <row r="6" spans="1:35" ht="4.5" customHeight="1" x14ac:dyDescent="0.35">
      <c r="A6" s="240"/>
      <c r="B6" s="239"/>
      <c r="C6" s="74"/>
      <c r="D6" s="74"/>
      <c r="E6" s="74"/>
      <c r="F6" s="74"/>
      <c r="G6" s="74"/>
      <c r="H6" s="74"/>
      <c r="I6" s="74"/>
      <c r="J6" s="74"/>
      <c r="K6" s="74"/>
      <c r="L6" s="74"/>
      <c r="M6" s="74"/>
      <c r="N6" s="74"/>
      <c r="O6" s="74"/>
      <c r="P6" s="74"/>
      <c r="Q6" s="134"/>
    </row>
    <row r="7" spans="1:35" s="244" customFormat="1" ht="16.5" customHeight="1" x14ac:dyDescent="0.35">
      <c r="A7" s="241" t="s">
        <v>525</v>
      </c>
      <c r="B7" s="242" t="s">
        <v>3</v>
      </c>
      <c r="C7" s="243">
        <f>'1. Projekti elluviimise kulud'!D41</f>
        <v>50000</v>
      </c>
      <c r="D7" s="243">
        <f>'1. Projekti elluviimise kulud'!E41</f>
        <v>3100000</v>
      </c>
      <c r="E7" s="243">
        <f>'1. Projekti elluviimise kulud'!F41</f>
        <v>122000</v>
      </c>
      <c r="F7" s="243"/>
      <c r="G7" s="243"/>
      <c r="H7" s="243"/>
      <c r="I7" s="243"/>
      <c r="J7" s="243"/>
      <c r="K7" s="243"/>
      <c r="L7" s="243"/>
      <c r="M7" s="243"/>
      <c r="N7" s="243"/>
      <c r="O7" s="243"/>
      <c r="P7" s="243"/>
      <c r="Q7" s="243"/>
    </row>
    <row r="8" spans="1:35" s="244" customFormat="1" ht="16.5" hidden="1" customHeight="1" x14ac:dyDescent="0.35">
      <c r="A8" s="241" t="s">
        <v>135</v>
      </c>
      <c r="B8" s="242" t="s">
        <v>3</v>
      </c>
      <c r="C8" s="243"/>
      <c r="D8" s="243"/>
      <c r="E8" s="243"/>
      <c r="F8" s="243"/>
      <c r="G8" s="243"/>
      <c r="H8" s="243"/>
      <c r="I8" s="243"/>
      <c r="J8" s="243"/>
      <c r="K8" s="243"/>
      <c r="L8" s="243"/>
      <c r="M8" s="243"/>
      <c r="N8" s="243"/>
      <c r="O8" s="243"/>
      <c r="P8" s="243"/>
      <c r="Q8" s="243"/>
    </row>
    <row r="9" spans="1:35" s="244" customFormat="1" ht="16.5" hidden="1" customHeight="1" x14ac:dyDescent="0.35">
      <c r="A9" s="241" t="s">
        <v>135</v>
      </c>
      <c r="B9" s="242" t="s">
        <v>3</v>
      </c>
      <c r="C9" s="243"/>
      <c r="D9" s="243"/>
      <c r="E9" s="243"/>
      <c r="F9" s="243"/>
      <c r="G9" s="243"/>
      <c r="H9" s="243"/>
      <c r="I9" s="243"/>
      <c r="J9" s="243"/>
      <c r="K9" s="243"/>
      <c r="L9" s="243"/>
      <c r="M9" s="243"/>
      <c r="N9" s="243"/>
      <c r="O9" s="243"/>
      <c r="P9" s="243"/>
      <c r="Q9" s="243"/>
    </row>
    <row r="10" spans="1:35" s="244" customFormat="1" ht="16.5" hidden="1" customHeight="1" x14ac:dyDescent="0.35">
      <c r="A10" s="241" t="s">
        <v>135</v>
      </c>
      <c r="B10" s="242" t="s">
        <v>3</v>
      </c>
      <c r="C10" s="243"/>
      <c r="D10" s="243"/>
      <c r="E10" s="243"/>
      <c r="F10" s="243"/>
      <c r="G10" s="243"/>
      <c r="H10" s="243"/>
      <c r="I10" s="243"/>
      <c r="J10" s="243"/>
      <c r="K10" s="243"/>
      <c r="L10" s="243"/>
      <c r="M10" s="243"/>
      <c r="N10" s="243"/>
      <c r="O10" s="243"/>
      <c r="P10" s="243"/>
      <c r="Q10" s="243"/>
    </row>
    <row r="11" spans="1:35" s="244" customFormat="1" ht="16.5" hidden="1" customHeight="1" x14ac:dyDescent="0.35">
      <c r="A11" s="241" t="s">
        <v>135</v>
      </c>
      <c r="B11" s="242" t="s">
        <v>3</v>
      </c>
      <c r="C11" s="243"/>
      <c r="D11" s="243"/>
      <c r="E11" s="243"/>
      <c r="F11" s="243"/>
      <c r="G11" s="243"/>
      <c r="H11" s="243"/>
      <c r="I11" s="243"/>
      <c r="J11" s="243"/>
      <c r="K11" s="243"/>
      <c r="L11" s="243"/>
      <c r="M11" s="243"/>
      <c r="N11" s="243"/>
      <c r="O11" s="243"/>
      <c r="P11" s="243"/>
      <c r="Q11" s="243"/>
    </row>
    <row r="12" spans="1:35" s="244" customFormat="1" ht="16.5" hidden="1" customHeight="1" x14ac:dyDescent="0.35">
      <c r="A12" s="241" t="s">
        <v>135</v>
      </c>
      <c r="B12" s="242" t="s">
        <v>3</v>
      </c>
      <c r="C12" s="243"/>
      <c r="D12" s="243"/>
      <c r="E12" s="243"/>
      <c r="F12" s="243"/>
      <c r="G12" s="243"/>
      <c r="H12" s="243"/>
      <c r="I12" s="243"/>
      <c r="J12" s="243"/>
      <c r="K12" s="243"/>
      <c r="L12" s="243"/>
      <c r="M12" s="243"/>
      <c r="N12" s="243"/>
      <c r="O12" s="243"/>
      <c r="P12" s="243"/>
      <c r="Q12" s="243"/>
    </row>
    <row r="13" spans="1:35" ht="16.5" customHeight="1" x14ac:dyDescent="0.35">
      <c r="A13" s="241" t="s">
        <v>118</v>
      </c>
      <c r="B13" s="242" t="s">
        <v>3</v>
      </c>
      <c r="C13" s="245">
        <f>'2. Tulud-kulud projektiga'!D53</f>
        <v>0</v>
      </c>
      <c r="D13" s="245">
        <f>'2. Tulud-kulud projektiga'!E53</f>
        <v>0</v>
      </c>
      <c r="E13" s="245">
        <f>'2. Tulud-kulud projektiga'!F53</f>
        <v>36690.654213865673</v>
      </c>
      <c r="F13" s="245">
        <f>'2. Tulud-kulud projektiga'!G53</f>
        <v>110071.96264159701</v>
      </c>
      <c r="G13" s="245">
        <f>'2. Tulud-kulud projektiga'!H53</f>
        <v>110071.96264159701</v>
      </c>
      <c r="H13" s="245">
        <f>'2. Tulud-kulud projektiga'!I53</f>
        <v>147801.92426295846</v>
      </c>
      <c r="I13" s="245">
        <f>'2. Tulud-kulud projektiga'!J53</f>
        <v>147801.92426295846</v>
      </c>
      <c r="J13" s="245">
        <f>'2. Tulud-kulud projektiga'!K53</f>
        <v>147801.92426295846</v>
      </c>
      <c r="K13" s="245">
        <f>'2. Tulud-kulud projektiga'!L53</f>
        <v>147801.92426295846</v>
      </c>
      <c r="L13" s="245">
        <f>'2. Tulud-kulud projektiga'!M53</f>
        <v>185559.1793998158</v>
      </c>
      <c r="M13" s="245">
        <f>'2. Tulud-kulud projektiga'!N53</f>
        <v>185559.1793998158</v>
      </c>
      <c r="N13" s="245">
        <f>'2. Tulud-kulud projektiga'!O53</f>
        <v>185559.1793998158</v>
      </c>
      <c r="O13" s="245">
        <f>'2. Tulud-kulud projektiga'!P53</f>
        <v>185559.1793998158</v>
      </c>
      <c r="P13" s="245">
        <f>'2. Tulud-kulud projektiga'!Q53</f>
        <v>185559.1793998158</v>
      </c>
      <c r="Q13" s="245">
        <f>'2. Tulud-kulud projektiga'!R53</f>
        <v>185559.1793998158</v>
      </c>
    </row>
    <row r="14" spans="1:35" ht="16.5" hidden="1" customHeight="1" x14ac:dyDescent="0.35">
      <c r="A14" s="241" t="s">
        <v>173</v>
      </c>
      <c r="B14" s="242" t="s">
        <v>3</v>
      </c>
      <c r="C14" s="11"/>
      <c r="D14" s="11"/>
      <c r="E14" s="11"/>
      <c r="F14" s="11"/>
      <c r="G14" s="11"/>
      <c r="H14" s="11"/>
      <c r="I14" s="11"/>
      <c r="J14" s="11"/>
      <c r="K14" s="11"/>
      <c r="L14" s="11"/>
      <c r="M14" s="11"/>
      <c r="N14" s="11"/>
      <c r="O14" s="11"/>
      <c r="P14" s="11"/>
      <c r="Q14" s="11"/>
    </row>
    <row r="15" spans="1:35" ht="16.5" hidden="1" customHeight="1" x14ac:dyDescent="0.35">
      <c r="A15" s="241"/>
      <c r="B15" s="242" t="s">
        <v>3</v>
      </c>
      <c r="C15" s="11"/>
      <c r="D15" s="11"/>
      <c r="E15" s="11"/>
      <c r="F15" s="11"/>
      <c r="G15" s="11"/>
      <c r="H15" s="11"/>
      <c r="I15" s="11"/>
      <c r="J15" s="11"/>
      <c r="K15" s="11"/>
      <c r="L15" s="11"/>
      <c r="M15" s="11"/>
      <c r="N15" s="11"/>
      <c r="O15" s="11"/>
      <c r="P15" s="11"/>
      <c r="Q15" s="11"/>
    </row>
    <row r="16" spans="1:35" ht="16.5" customHeight="1" x14ac:dyDescent="0.35">
      <c r="A16" s="241" t="s">
        <v>327</v>
      </c>
      <c r="B16" s="242" t="s">
        <v>3</v>
      </c>
      <c r="C16" s="11"/>
      <c r="D16" s="11"/>
      <c r="E16" s="11">
        <v>45000</v>
      </c>
      <c r="F16" s="11">
        <v>45000</v>
      </c>
      <c r="G16" s="11">
        <v>45000</v>
      </c>
      <c r="H16" s="11">
        <v>7000</v>
      </c>
      <c r="I16" s="11">
        <v>7000</v>
      </c>
      <c r="J16" s="11">
        <v>7000</v>
      </c>
      <c r="K16" s="11">
        <v>7000</v>
      </c>
      <c r="L16" s="11"/>
      <c r="M16" s="11"/>
      <c r="N16" s="11"/>
      <c r="O16" s="11"/>
      <c r="P16" s="11"/>
      <c r="Q16" s="11"/>
    </row>
    <row r="17" spans="1:35" ht="16.5" customHeight="1" x14ac:dyDescent="0.35">
      <c r="A17" s="241"/>
      <c r="B17" s="242" t="s">
        <v>3</v>
      </c>
      <c r="C17" s="11"/>
      <c r="D17" s="11"/>
      <c r="E17" s="11"/>
      <c r="F17" s="11"/>
      <c r="G17" s="11"/>
      <c r="H17" s="11"/>
      <c r="I17" s="11"/>
      <c r="J17" s="11"/>
      <c r="K17" s="11"/>
      <c r="L17" s="11"/>
      <c r="M17" s="11"/>
      <c r="N17" s="11"/>
      <c r="O17" s="11"/>
      <c r="P17" s="11"/>
      <c r="Q17" s="11"/>
    </row>
    <row r="18" spans="1:35" ht="16.5" customHeight="1" x14ac:dyDescent="0.35">
      <c r="A18" s="241"/>
      <c r="B18" s="242" t="s">
        <v>3</v>
      </c>
      <c r="C18" s="11"/>
      <c r="D18" s="11"/>
      <c r="E18" s="11"/>
      <c r="F18" s="11"/>
      <c r="G18" s="11"/>
      <c r="H18" s="11"/>
      <c r="I18" s="11"/>
      <c r="J18" s="11"/>
      <c r="K18" s="11"/>
      <c r="L18" s="11"/>
      <c r="M18" s="11"/>
      <c r="N18" s="11"/>
      <c r="O18" s="11"/>
      <c r="P18" s="11"/>
      <c r="Q18" s="11"/>
    </row>
    <row r="19" spans="1:35" ht="4.5" customHeight="1" x14ac:dyDescent="0.35">
      <c r="A19" s="238"/>
      <c r="B19" s="246"/>
      <c r="C19" s="18"/>
      <c r="D19" s="18"/>
      <c r="E19" s="18"/>
      <c r="F19" s="18"/>
      <c r="G19" s="18"/>
      <c r="H19" s="18"/>
      <c r="I19" s="18"/>
      <c r="J19" s="18"/>
      <c r="K19" s="18"/>
      <c r="L19" s="18"/>
      <c r="M19" s="18"/>
      <c r="N19" s="18"/>
      <c r="O19" s="18"/>
      <c r="P19" s="18"/>
      <c r="Q19" s="19"/>
    </row>
    <row r="20" spans="1:35" s="250" customFormat="1" ht="22.5" customHeight="1" x14ac:dyDescent="0.35">
      <c r="A20" s="247" t="s">
        <v>119</v>
      </c>
      <c r="B20" s="248" t="s">
        <v>3</v>
      </c>
      <c r="C20" s="249">
        <f t="shared" ref="C20:P20" si="3">SUM(C7:C18)</f>
        <v>50000</v>
      </c>
      <c r="D20" s="249">
        <f t="shared" si="3"/>
        <v>3100000</v>
      </c>
      <c r="E20" s="249">
        <f t="shared" si="3"/>
        <v>203690.65421386567</v>
      </c>
      <c r="F20" s="249">
        <f t="shared" si="3"/>
        <v>155071.96264159703</v>
      </c>
      <c r="G20" s="249">
        <f t="shared" si="3"/>
        <v>155071.96264159703</v>
      </c>
      <c r="H20" s="249">
        <f t="shared" si="3"/>
        <v>154801.92426295846</v>
      </c>
      <c r="I20" s="249">
        <f t="shared" si="3"/>
        <v>154801.92426295846</v>
      </c>
      <c r="J20" s="249">
        <f t="shared" si="3"/>
        <v>154801.92426295846</v>
      </c>
      <c r="K20" s="249">
        <f t="shared" si="3"/>
        <v>154801.92426295846</v>
      </c>
      <c r="L20" s="249">
        <f t="shared" si="3"/>
        <v>185559.1793998158</v>
      </c>
      <c r="M20" s="249">
        <f t="shared" si="3"/>
        <v>185559.1793998158</v>
      </c>
      <c r="N20" s="249">
        <f t="shared" si="3"/>
        <v>185559.1793998158</v>
      </c>
      <c r="O20" s="249">
        <f t="shared" si="3"/>
        <v>185559.1793998158</v>
      </c>
      <c r="P20" s="249">
        <f t="shared" si="3"/>
        <v>185559.1793998158</v>
      </c>
      <c r="Q20" s="249">
        <f t="shared" ref="Q20" si="4">SUM(Q7:Q18)</f>
        <v>185559.1793998158</v>
      </c>
      <c r="R20" s="3"/>
      <c r="S20" s="3"/>
      <c r="T20" s="3"/>
      <c r="U20" s="3"/>
      <c r="V20" s="3"/>
      <c r="W20" s="3"/>
      <c r="X20" s="3"/>
      <c r="Y20" s="3"/>
      <c r="Z20" s="3"/>
      <c r="AA20" s="3"/>
      <c r="AB20" s="3"/>
      <c r="AC20" s="3"/>
      <c r="AD20" s="3"/>
      <c r="AE20" s="3"/>
      <c r="AF20" s="3"/>
      <c r="AG20" s="3"/>
      <c r="AH20" s="3"/>
      <c r="AI20" s="3"/>
    </row>
    <row r="21" spans="1:35" s="250" customFormat="1" ht="4.5" customHeight="1" x14ac:dyDescent="0.35">
      <c r="A21" s="251"/>
      <c r="B21" s="246"/>
      <c r="C21" s="252"/>
      <c r="D21" s="252"/>
      <c r="E21" s="252"/>
      <c r="F21" s="252"/>
      <c r="G21" s="252"/>
      <c r="H21" s="252"/>
      <c r="I21" s="252"/>
      <c r="J21" s="252"/>
      <c r="K21" s="252"/>
      <c r="L21" s="252"/>
      <c r="M21" s="252"/>
      <c r="N21" s="252"/>
      <c r="O21" s="252"/>
      <c r="P21" s="252"/>
      <c r="Q21" s="253"/>
      <c r="R21" s="3"/>
      <c r="S21" s="3"/>
      <c r="T21" s="3"/>
      <c r="U21" s="3"/>
      <c r="V21" s="3"/>
      <c r="W21" s="3"/>
      <c r="X21" s="3"/>
      <c r="Y21" s="3"/>
      <c r="Z21" s="3"/>
      <c r="AA21" s="3"/>
      <c r="AB21" s="3"/>
      <c r="AC21" s="3"/>
      <c r="AD21" s="3"/>
      <c r="AE21" s="3"/>
      <c r="AF21" s="3"/>
      <c r="AG21" s="3"/>
      <c r="AH21" s="3"/>
      <c r="AI21" s="3"/>
    </row>
    <row r="22" spans="1:35" ht="20.25" customHeight="1" x14ac:dyDescent="0.35">
      <c r="A22" s="254"/>
      <c r="B22" s="255"/>
      <c r="C22" s="256"/>
      <c r="D22" s="256"/>
      <c r="E22" s="256"/>
      <c r="F22" s="256"/>
      <c r="G22" s="256"/>
      <c r="H22" s="256"/>
      <c r="I22" s="256"/>
      <c r="J22" s="256"/>
      <c r="K22" s="256"/>
      <c r="L22" s="256"/>
      <c r="M22" s="256"/>
      <c r="N22" s="256"/>
      <c r="O22" s="256"/>
      <c r="P22" s="256"/>
      <c r="Q22" s="256"/>
    </row>
    <row r="23" spans="1:35" ht="20.25" customHeight="1" x14ac:dyDescent="0.35">
      <c r="A23" s="233" t="s">
        <v>120</v>
      </c>
      <c r="B23" s="257"/>
      <c r="C23" s="11"/>
      <c r="D23" s="11"/>
      <c r="E23" s="11"/>
      <c r="F23" s="11"/>
      <c r="G23" s="11"/>
      <c r="H23" s="11"/>
      <c r="I23" s="11"/>
      <c r="J23" s="11"/>
      <c r="K23" s="11"/>
      <c r="L23" s="11"/>
      <c r="M23" s="11"/>
      <c r="N23" s="11"/>
      <c r="O23" s="11"/>
      <c r="P23" s="11"/>
      <c r="Q23" s="11"/>
    </row>
    <row r="24" spans="1:35" ht="4.5" customHeight="1" x14ac:dyDescent="0.35">
      <c r="A24" s="240"/>
      <c r="B24" s="246"/>
      <c r="C24" s="18"/>
      <c r="D24" s="18"/>
      <c r="E24" s="18"/>
      <c r="F24" s="18"/>
      <c r="G24" s="18"/>
      <c r="H24" s="18"/>
      <c r="I24" s="18"/>
      <c r="J24" s="18"/>
      <c r="K24" s="18"/>
      <c r="L24" s="18"/>
      <c r="M24" s="18"/>
      <c r="N24" s="18"/>
      <c r="O24" s="18"/>
      <c r="P24" s="18"/>
      <c r="Q24" s="19"/>
    </row>
    <row r="25" spans="1:35" ht="16.5" customHeight="1" x14ac:dyDescent="0.35">
      <c r="A25" s="241" t="s">
        <v>130</v>
      </c>
      <c r="B25" s="242" t="s">
        <v>3</v>
      </c>
      <c r="C25" s="245">
        <f>'1. Projekti elluviimise kulud'!D19</f>
        <v>50000</v>
      </c>
      <c r="D25" s="245">
        <f>'1. Projekti elluviimise kulud'!E19</f>
        <v>3100000</v>
      </c>
      <c r="E25" s="245">
        <f>'1. Projekti elluviimise kulud'!F19</f>
        <v>122000</v>
      </c>
      <c r="F25" s="245">
        <f>'1. Projekti elluviimise kulud'!G19</f>
        <v>0</v>
      </c>
      <c r="G25" s="245">
        <f>'1. Projekti elluviimise kulud'!H19</f>
        <v>0</v>
      </c>
      <c r="H25" s="245">
        <f>'1. Projekti elluviimise kulud'!I19</f>
        <v>0</v>
      </c>
      <c r="I25" s="258"/>
      <c r="J25" s="258"/>
      <c r="K25" s="258"/>
      <c r="L25" s="258"/>
      <c r="M25" s="258"/>
      <c r="N25" s="258"/>
      <c r="O25" s="258"/>
      <c r="P25" s="258"/>
      <c r="Q25" s="258"/>
    </row>
    <row r="26" spans="1:35" ht="16.5" customHeight="1" x14ac:dyDescent="0.35">
      <c r="A26" s="241" t="s">
        <v>131</v>
      </c>
      <c r="B26" s="242" t="s">
        <v>3</v>
      </c>
      <c r="C26" s="245">
        <f>'2. Tulud-kulud projektiga'!D118</f>
        <v>0</v>
      </c>
      <c r="D26" s="245">
        <f>'2. Tulud-kulud projektiga'!E118</f>
        <v>0</v>
      </c>
      <c r="E26" s="245">
        <f>'2. Tulud-kulud projektiga'!F118</f>
        <v>62445.095704666666</v>
      </c>
      <c r="F26" s="245">
        <f>'2. Tulud-kulud projektiga'!G118</f>
        <v>153400.93111400001</v>
      </c>
      <c r="G26" s="245">
        <f>'2. Tulud-kulud projektiga'!H118</f>
        <v>153400.93111400001</v>
      </c>
      <c r="H26" s="245">
        <f>'2. Tulud-kulud projektiga'!I118</f>
        <v>153610.04336800001</v>
      </c>
      <c r="I26" s="245">
        <f>'2. Tulud-kulud projektiga'!J118</f>
        <v>153610.04336800001</v>
      </c>
      <c r="J26" s="245">
        <f>'2. Tulud-kulud projektiga'!K118</f>
        <v>153610.04336800001</v>
      </c>
      <c r="K26" s="245">
        <f>'2. Tulud-kulud projektiga'!L118</f>
        <v>153610.04336800001</v>
      </c>
      <c r="L26" s="245">
        <f>'2. Tulud-kulud projektiga'!M118</f>
        <v>153923.15562199999</v>
      </c>
      <c r="M26" s="245">
        <f>'2. Tulud-kulud projektiga'!N118</f>
        <v>153923.15562199999</v>
      </c>
      <c r="N26" s="245">
        <f>'2. Tulud-kulud projektiga'!O118</f>
        <v>153923.15562199999</v>
      </c>
      <c r="O26" s="245">
        <f>'2. Tulud-kulud projektiga'!P118</f>
        <v>153923.15562199999</v>
      </c>
      <c r="P26" s="245">
        <f>'2. Tulud-kulud projektiga'!Q118</f>
        <v>153923.15562199999</v>
      </c>
      <c r="Q26" s="245">
        <f>'2. Tulud-kulud projektiga'!R118</f>
        <v>189923.15562199999</v>
      </c>
    </row>
    <row r="27" spans="1:35" ht="16.5" hidden="1" customHeight="1" x14ac:dyDescent="0.35">
      <c r="A27" s="241"/>
      <c r="B27" s="242" t="s">
        <v>3</v>
      </c>
      <c r="C27" s="11"/>
      <c r="D27" s="11"/>
      <c r="E27" s="11"/>
      <c r="F27" s="11"/>
      <c r="G27" s="11"/>
      <c r="H27" s="11"/>
      <c r="I27" s="11"/>
      <c r="J27" s="11"/>
      <c r="K27" s="11"/>
      <c r="L27" s="11"/>
      <c r="M27" s="11"/>
      <c r="N27" s="11"/>
      <c r="O27" s="11"/>
      <c r="P27" s="11"/>
      <c r="Q27" s="11"/>
    </row>
    <row r="28" spans="1:35" ht="16.5" customHeight="1" x14ac:dyDescent="0.35">
      <c r="A28" s="241" t="s">
        <v>506</v>
      </c>
      <c r="B28" s="242" t="s">
        <v>3</v>
      </c>
      <c r="C28" s="11"/>
      <c r="D28" s="11"/>
      <c r="E28" s="11"/>
      <c r="F28" s="11"/>
      <c r="G28" s="11"/>
      <c r="H28" s="11"/>
      <c r="I28" s="11"/>
      <c r="J28" s="11"/>
      <c r="K28" s="11"/>
      <c r="L28" s="11">
        <v>40000</v>
      </c>
      <c r="M28" s="11">
        <v>18000</v>
      </c>
      <c r="N28" s="11">
        <v>30000</v>
      </c>
      <c r="O28" s="11">
        <v>30000</v>
      </c>
      <c r="P28" s="11">
        <v>26000</v>
      </c>
      <c r="Q28" s="11">
        <v>18000</v>
      </c>
    </row>
    <row r="29" spans="1:35" ht="16.5" hidden="1" customHeight="1" x14ac:dyDescent="0.35">
      <c r="A29" s="241" t="s">
        <v>122</v>
      </c>
      <c r="B29" s="242" t="s">
        <v>3</v>
      </c>
      <c r="C29" s="11"/>
      <c r="D29" s="11"/>
      <c r="E29" s="11"/>
      <c r="F29" s="11"/>
      <c r="G29" s="11"/>
      <c r="H29" s="11"/>
      <c r="I29" s="11"/>
      <c r="J29" s="11"/>
      <c r="K29" s="11"/>
      <c r="L29" s="11"/>
      <c r="M29" s="11"/>
      <c r="N29" s="11"/>
      <c r="O29" s="11"/>
      <c r="P29" s="11"/>
      <c r="Q29" s="11"/>
    </row>
    <row r="30" spans="1:35" ht="16.5" hidden="1" customHeight="1" x14ac:dyDescent="0.35">
      <c r="A30" s="241"/>
      <c r="B30" s="242" t="s">
        <v>3</v>
      </c>
      <c r="C30" s="11"/>
      <c r="D30" s="11"/>
      <c r="E30" s="11"/>
      <c r="F30" s="11"/>
      <c r="G30" s="11"/>
      <c r="H30" s="11"/>
      <c r="I30" s="11"/>
      <c r="J30" s="11"/>
      <c r="K30" s="11"/>
      <c r="L30" s="11"/>
      <c r="M30" s="11"/>
      <c r="N30" s="11"/>
      <c r="O30" s="11"/>
      <c r="P30" s="11"/>
      <c r="Q30" s="11"/>
    </row>
    <row r="31" spans="1:35" ht="16.5" hidden="1" customHeight="1" x14ac:dyDescent="0.35">
      <c r="A31" s="241"/>
      <c r="B31" s="242" t="s">
        <v>3</v>
      </c>
      <c r="C31" s="11"/>
      <c r="D31" s="11"/>
      <c r="E31" s="11"/>
      <c r="F31" s="11"/>
      <c r="G31" s="11"/>
      <c r="H31" s="11"/>
      <c r="I31" s="11"/>
      <c r="J31" s="11"/>
      <c r="K31" s="11"/>
      <c r="L31" s="11"/>
      <c r="M31" s="11"/>
      <c r="N31" s="11"/>
      <c r="O31" s="11"/>
      <c r="P31" s="11"/>
      <c r="Q31" s="11"/>
    </row>
    <row r="32" spans="1:35" ht="4.5" customHeight="1" x14ac:dyDescent="0.35">
      <c r="A32" s="259"/>
      <c r="B32" s="260"/>
      <c r="C32" s="258"/>
      <c r="D32" s="258"/>
      <c r="E32" s="258"/>
      <c r="F32" s="258"/>
      <c r="G32" s="258"/>
      <c r="H32" s="258"/>
      <c r="I32" s="258"/>
      <c r="J32" s="258"/>
      <c r="K32" s="258"/>
      <c r="L32" s="258"/>
      <c r="M32" s="258"/>
      <c r="N32" s="258"/>
      <c r="O32" s="258"/>
      <c r="P32" s="258"/>
      <c r="Q32" s="258"/>
    </row>
    <row r="33" spans="1:35" s="250" customFormat="1" ht="22.5" customHeight="1" x14ac:dyDescent="0.35">
      <c r="A33" s="247" t="s">
        <v>123</v>
      </c>
      <c r="B33" s="248" t="s">
        <v>3</v>
      </c>
      <c r="C33" s="249">
        <f t="shared" ref="C33:P33" si="5">SUM(C25:C31)</f>
        <v>50000</v>
      </c>
      <c r="D33" s="249">
        <f t="shared" si="5"/>
        <v>3100000</v>
      </c>
      <c r="E33" s="249">
        <f t="shared" si="5"/>
        <v>184445.09570466666</v>
      </c>
      <c r="F33" s="249">
        <f t="shared" si="5"/>
        <v>153400.93111400001</v>
      </c>
      <c r="G33" s="249">
        <f t="shared" si="5"/>
        <v>153400.93111400001</v>
      </c>
      <c r="H33" s="249">
        <f t="shared" si="5"/>
        <v>153610.04336800001</v>
      </c>
      <c r="I33" s="249">
        <f t="shared" si="5"/>
        <v>153610.04336800001</v>
      </c>
      <c r="J33" s="249">
        <f t="shared" si="5"/>
        <v>153610.04336800001</v>
      </c>
      <c r="K33" s="249">
        <f t="shared" si="5"/>
        <v>153610.04336800001</v>
      </c>
      <c r="L33" s="249">
        <f t="shared" si="5"/>
        <v>193923.15562199999</v>
      </c>
      <c r="M33" s="249">
        <f t="shared" si="5"/>
        <v>171923.15562199999</v>
      </c>
      <c r="N33" s="249">
        <f t="shared" si="5"/>
        <v>183923.15562199999</v>
      </c>
      <c r="O33" s="249">
        <f t="shared" si="5"/>
        <v>183923.15562199999</v>
      </c>
      <c r="P33" s="249">
        <f t="shared" si="5"/>
        <v>179923.15562199999</v>
      </c>
      <c r="Q33" s="249">
        <f t="shared" ref="Q33" si="6">SUM(Q25:Q31)</f>
        <v>207923.15562199999</v>
      </c>
      <c r="R33" s="3"/>
      <c r="S33" s="3"/>
      <c r="T33" s="3"/>
      <c r="U33" s="3"/>
      <c r="V33" s="3"/>
      <c r="W33" s="3"/>
      <c r="X33" s="3"/>
      <c r="Y33" s="3"/>
      <c r="Z33" s="3"/>
      <c r="AA33" s="3"/>
      <c r="AB33" s="3"/>
      <c r="AC33" s="3"/>
      <c r="AD33" s="3"/>
      <c r="AE33" s="3"/>
      <c r="AF33" s="3"/>
      <c r="AG33" s="3"/>
      <c r="AH33" s="3"/>
      <c r="AI33" s="3"/>
    </row>
    <row r="34" spans="1:35" s="250" customFormat="1" ht="4.5" customHeight="1" x14ac:dyDescent="0.35">
      <c r="A34" s="251"/>
      <c r="B34" s="246"/>
      <c r="C34" s="252"/>
      <c r="D34" s="252"/>
      <c r="E34" s="252"/>
      <c r="F34" s="252"/>
      <c r="G34" s="252"/>
      <c r="H34" s="252"/>
      <c r="I34" s="252"/>
      <c r="J34" s="252"/>
      <c r="K34" s="252"/>
      <c r="L34" s="252"/>
      <c r="M34" s="252"/>
      <c r="N34" s="252"/>
      <c r="O34" s="252"/>
      <c r="P34" s="252"/>
      <c r="Q34" s="253"/>
      <c r="R34" s="3"/>
      <c r="S34" s="3"/>
      <c r="T34" s="3"/>
      <c r="U34" s="3"/>
      <c r="V34" s="3"/>
      <c r="W34" s="3"/>
      <c r="X34" s="3"/>
      <c r="Y34" s="3"/>
      <c r="Z34" s="3"/>
      <c r="AA34" s="3"/>
      <c r="AB34" s="3"/>
      <c r="AC34" s="3"/>
      <c r="AD34" s="3"/>
      <c r="AE34" s="3"/>
      <c r="AF34" s="3"/>
      <c r="AG34" s="3"/>
      <c r="AH34" s="3"/>
      <c r="AI34" s="3"/>
    </row>
    <row r="35" spans="1:35" s="250" customFormat="1" ht="18.75" customHeight="1" x14ac:dyDescent="0.35">
      <c r="A35" s="261"/>
      <c r="B35" s="255"/>
      <c r="C35" s="262"/>
      <c r="D35" s="262"/>
      <c r="E35" s="262"/>
      <c r="F35" s="262"/>
      <c r="G35" s="262"/>
      <c r="H35" s="262"/>
      <c r="I35" s="262"/>
      <c r="J35" s="262"/>
      <c r="K35" s="262"/>
      <c r="L35" s="262"/>
      <c r="M35" s="262"/>
      <c r="N35" s="262"/>
      <c r="O35" s="262"/>
      <c r="P35" s="262"/>
      <c r="Q35" s="276"/>
      <c r="R35" s="3"/>
      <c r="S35" s="3"/>
      <c r="T35" s="3"/>
      <c r="U35" s="3"/>
      <c r="V35" s="3"/>
      <c r="W35" s="3"/>
      <c r="X35" s="3"/>
      <c r="Y35" s="3"/>
      <c r="Z35" s="3"/>
      <c r="AA35" s="3"/>
      <c r="AB35" s="3"/>
      <c r="AC35" s="3"/>
      <c r="AD35" s="3"/>
      <c r="AE35" s="3"/>
      <c r="AF35" s="3"/>
      <c r="AG35" s="3"/>
      <c r="AH35" s="3"/>
      <c r="AI35" s="3"/>
    </row>
    <row r="36" spans="1:35" s="266" customFormat="1" ht="18" customHeight="1" x14ac:dyDescent="0.35">
      <c r="A36" s="263" t="s">
        <v>124</v>
      </c>
      <c r="B36" s="248" t="s">
        <v>3</v>
      </c>
      <c r="C36" s="264">
        <f t="shared" ref="C36:P36" si="7">C20-C33</f>
        <v>0</v>
      </c>
      <c r="D36" s="264">
        <f t="shared" si="7"/>
        <v>0</v>
      </c>
      <c r="E36" s="264">
        <f t="shared" si="7"/>
        <v>19245.558509199007</v>
      </c>
      <c r="F36" s="264">
        <f t="shared" si="7"/>
        <v>1671.0315275970206</v>
      </c>
      <c r="G36" s="264">
        <f t="shared" si="7"/>
        <v>1671.0315275970206</v>
      </c>
      <c r="H36" s="264">
        <f t="shared" si="7"/>
        <v>1191.8808949584491</v>
      </c>
      <c r="I36" s="264">
        <f t="shared" si="7"/>
        <v>1191.8808949584491</v>
      </c>
      <c r="J36" s="264">
        <f t="shared" si="7"/>
        <v>1191.8808949584491</v>
      </c>
      <c r="K36" s="264">
        <f t="shared" si="7"/>
        <v>1191.8808949584491</v>
      </c>
      <c r="L36" s="264">
        <f t="shared" si="7"/>
        <v>-8363.9762221841956</v>
      </c>
      <c r="M36" s="264">
        <f t="shared" si="7"/>
        <v>13636.023777815804</v>
      </c>
      <c r="N36" s="264">
        <f t="shared" si="7"/>
        <v>1636.0237778158044</v>
      </c>
      <c r="O36" s="264">
        <f t="shared" si="7"/>
        <v>1636.0237778158044</v>
      </c>
      <c r="P36" s="264">
        <f t="shared" si="7"/>
        <v>5636.0237778158044</v>
      </c>
      <c r="Q36" s="264">
        <f t="shared" ref="Q36" si="8">Q20-Q33</f>
        <v>-22363.976222184196</v>
      </c>
      <c r="R36" s="265"/>
      <c r="S36" s="265"/>
      <c r="T36" s="265"/>
      <c r="U36" s="265"/>
      <c r="V36" s="265"/>
      <c r="W36" s="265"/>
      <c r="X36" s="265"/>
      <c r="Y36" s="265"/>
      <c r="Z36" s="265"/>
      <c r="AA36" s="265"/>
      <c r="AB36" s="265"/>
      <c r="AC36" s="265"/>
      <c r="AD36" s="265"/>
      <c r="AE36" s="265"/>
      <c r="AF36" s="265"/>
      <c r="AG36" s="265"/>
      <c r="AH36" s="265"/>
      <c r="AI36" s="265"/>
    </row>
    <row r="37" spans="1:35" ht="4.5" customHeight="1" x14ac:dyDescent="0.35">
      <c r="A37" s="238"/>
      <c r="B37" s="246"/>
      <c r="C37" s="18"/>
      <c r="D37" s="18"/>
      <c r="E37" s="18"/>
      <c r="F37" s="18"/>
      <c r="G37" s="18"/>
      <c r="H37" s="18"/>
      <c r="I37" s="18"/>
      <c r="J37" s="18"/>
      <c r="K37" s="18"/>
      <c r="L37" s="18"/>
      <c r="M37" s="18"/>
      <c r="N37" s="18"/>
      <c r="O37" s="18"/>
      <c r="P37" s="18"/>
      <c r="Q37" s="18"/>
    </row>
    <row r="38" spans="1:35" s="250" customFormat="1" ht="22.5" customHeight="1" x14ac:dyDescent="0.35">
      <c r="A38" s="247" t="s">
        <v>125</v>
      </c>
      <c r="B38" s="248" t="s">
        <v>3</v>
      </c>
      <c r="C38" s="249">
        <f>C36</f>
        <v>0</v>
      </c>
      <c r="D38" s="249">
        <f>C38+D36</f>
        <v>0</v>
      </c>
      <c r="E38" s="249">
        <f t="shared" ref="E38:O38" si="9">D38+E36</f>
        <v>19245.558509199007</v>
      </c>
      <c r="F38" s="249">
        <f t="shared" si="9"/>
        <v>20916.590036796028</v>
      </c>
      <c r="G38" s="249">
        <f t="shared" si="9"/>
        <v>22587.621564393048</v>
      </c>
      <c r="H38" s="249">
        <f t="shared" si="9"/>
        <v>23779.502459351497</v>
      </c>
      <c r="I38" s="249">
        <f t="shared" si="9"/>
        <v>24971.383354309946</v>
      </c>
      <c r="J38" s="249">
        <f t="shared" si="9"/>
        <v>26163.264249268395</v>
      </c>
      <c r="K38" s="249">
        <f t="shared" si="9"/>
        <v>27355.145144226844</v>
      </c>
      <c r="L38" s="249">
        <f t="shared" si="9"/>
        <v>18991.168922042649</v>
      </c>
      <c r="M38" s="249">
        <f t="shared" si="9"/>
        <v>32627.192699858453</v>
      </c>
      <c r="N38" s="249">
        <f t="shared" si="9"/>
        <v>34263.216477674257</v>
      </c>
      <c r="O38" s="249">
        <f t="shared" si="9"/>
        <v>35899.240255490062</v>
      </c>
      <c r="P38" s="249">
        <f t="shared" ref="P38" si="10">O38+P36</f>
        <v>41535.264033305866</v>
      </c>
      <c r="Q38" s="249">
        <f t="shared" ref="Q38" si="11">P38+Q36</f>
        <v>19171.287811121671</v>
      </c>
      <c r="R38" s="3"/>
      <c r="S38" s="3"/>
      <c r="T38" s="3"/>
      <c r="U38" s="3"/>
      <c r="V38" s="3"/>
      <c r="W38" s="3"/>
      <c r="X38" s="3"/>
      <c r="Y38" s="3"/>
      <c r="Z38" s="3"/>
      <c r="AA38" s="3"/>
      <c r="AB38" s="3"/>
      <c r="AC38" s="3"/>
      <c r="AD38" s="3"/>
      <c r="AE38" s="3"/>
      <c r="AF38" s="3"/>
      <c r="AG38" s="3"/>
      <c r="AH38" s="3"/>
      <c r="AI38" s="3"/>
    </row>
    <row r="39" spans="1:35" ht="4.5" customHeight="1" x14ac:dyDescent="0.35">
      <c r="A39" s="238"/>
      <c r="B39" s="239"/>
      <c r="C39" s="18"/>
      <c r="D39" s="18"/>
      <c r="E39" s="18"/>
      <c r="F39" s="18"/>
      <c r="G39" s="18"/>
      <c r="H39" s="18"/>
      <c r="I39" s="18"/>
      <c r="J39" s="18"/>
      <c r="K39" s="18"/>
      <c r="L39" s="18"/>
      <c r="M39" s="18"/>
      <c r="N39" s="18"/>
      <c r="O39" s="18"/>
      <c r="P39" s="18"/>
      <c r="Q39" s="19"/>
    </row>
    <row r="41" spans="1:35" s="270" customFormat="1" ht="13" x14ac:dyDescent="0.35">
      <c r="A41" s="267" t="s">
        <v>126</v>
      </c>
      <c r="B41" s="267"/>
      <c r="C41" s="268">
        <f>C16-C28</f>
        <v>0</v>
      </c>
      <c r="D41" s="268">
        <f t="shared" ref="D41:O41" si="12">C41+D16-D28</f>
        <v>0</v>
      </c>
      <c r="E41" s="268">
        <f t="shared" si="12"/>
        <v>45000</v>
      </c>
      <c r="F41" s="268">
        <f t="shared" si="12"/>
        <v>90000</v>
      </c>
      <c r="G41" s="268">
        <f t="shared" si="12"/>
        <v>135000</v>
      </c>
      <c r="H41" s="268">
        <f t="shared" si="12"/>
        <v>142000</v>
      </c>
      <c r="I41" s="268">
        <f t="shared" si="12"/>
        <v>149000</v>
      </c>
      <c r="J41" s="268">
        <f t="shared" si="12"/>
        <v>156000</v>
      </c>
      <c r="K41" s="268">
        <f t="shared" si="12"/>
        <v>163000</v>
      </c>
      <c r="L41" s="268">
        <f t="shared" si="12"/>
        <v>123000</v>
      </c>
      <c r="M41" s="268">
        <f t="shared" si="12"/>
        <v>105000</v>
      </c>
      <c r="N41" s="268">
        <f t="shared" si="12"/>
        <v>75000</v>
      </c>
      <c r="O41" s="268">
        <f t="shared" si="12"/>
        <v>45000</v>
      </c>
      <c r="P41" s="268">
        <f t="shared" ref="P41" si="13">O41+P16-P28</f>
        <v>19000</v>
      </c>
      <c r="Q41" s="268">
        <f t="shared" ref="Q41" si="14">P41+Q16-Q28</f>
        <v>1000</v>
      </c>
      <c r="R41" s="269"/>
      <c r="S41" s="269"/>
      <c r="T41" s="269"/>
      <c r="U41" s="269"/>
      <c r="V41" s="269"/>
      <c r="W41" s="269"/>
      <c r="X41" s="269"/>
      <c r="Y41" s="269"/>
      <c r="Z41" s="269"/>
      <c r="AA41" s="269"/>
      <c r="AB41" s="269"/>
      <c r="AC41" s="269"/>
      <c r="AD41" s="269"/>
      <c r="AE41" s="269"/>
      <c r="AF41" s="269"/>
      <c r="AG41" s="269"/>
      <c r="AH41" s="269"/>
      <c r="AI41" s="269"/>
    </row>
  </sheetData>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27</vt:i4>
      </vt:variant>
      <vt:variant>
        <vt:lpstr>Nimega vahemikud</vt:lpstr>
      </vt:variant>
      <vt:variant>
        <vt:i4>10</vt:i4>
      </vt:variant>
    </vt:vector>
  </HeadingPairs>
  <TitlesOfParts>
    <vt:vector size="37" baseType="lpstr">
      <vt:lpstr>Juhend</vt:lpstr>
      <vt:lpstr>Esileht</vt:lpstr>
      <vt:lpstr>1. Projekti elluviimise kulud</vt:lpstr>
      <vt:lpstr>2. Tulud-kulud projektiga</vt:lpstr>
      <vt:lpstr>3. Tulud-kulud projektita</vt:lpstr>
      <vt:lpstr>4. Lisanduvad tulud-kulud</vt:lpstr>
      <vt:lpstr>7. Tasuvus</vt:lpstr>
      <vt:lpstr>5. Abikõlblik kulu</vt:lpstr>
      <vt:lpstr>6. Rahavood</vt:lpstr>
      <vt:lpstr>8. Jääkväärtus</vt:lpstr>
      <vt:lpstr>Sots.majanduslik moju</vt:lpstr>
      <vt:lpstr>Eeldused SotsMajand. moju</vt:lpstr>
      <vt:lpstr>Maksumäärad</vt:lpstr>
      <vt:lpstr>Arvestusperioodid</vt:lpstr>
      <vt:lpstr>Asendusinvesteeringud</vt:lpstr>
      <vt:lpstr>Ruumid</vt:lpstr>
      <vt:lpstr>Eeldused25</vt:lpstr>
      <vt:lpstr>Kulud25</vt:lpstr>
      <vt:lpstr>Tulud25</vt:lpstr>
      <vt:lpstr>Eeldused50</vt:lpstr>
      <vt:lpstr>Kulud50</vt:lpstr>
      <vt:lpstr>Tulud50</vt:lpstr>
      <vt:lpstr>Eeldused75</vt:lpstr>
      <vt:lpstr>Kulud75</vt:lpstr>
      <vt:lpstr>Tulud75</vt:lpstr>
      <vt:lpstr>Tegevuseelarve</vt:lpstr>
      <vt:lpstr>Link tabel</vt:lpstr>
      <vt:lpstr>Kulud25!Prindiala</vt:lpstr>
      <vt:lpstr>Kulud50!Prindiala</vt:lpstr>
      <vt:lpstr>Kulud75!Prindiala</vt:lpstr>
      <vt:lpstr>'1. Projekti elluviimise kulud'!Prinditiitlid</vt:lpstr>
      <vt:lpstr>'2. Tulud-kulud projektiga'!Prinditiitlid</vt:lpstr>
      <vt:lpstr>'3. Tulud-kulud projektita'!Prinditiitlid</vt:lpstr>
      <vt:lpstr>'4. Lisanduvad tulud-kulud'!Prinditiitlid</vt:lpstr>
      <vt:lpstr>'6. Rahavood'!Prinditiitlid</vt:lpstr>
      <vt:lpstr>'7. Tasuvus'!Prinditiitlid</vt:lpstr>
      <vt:lpstr>'8. Jääkväärtus'!Prinditiitlid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dc:creator>
  <cp:lastModifiedBy>Kersti Raja</cp:lastModifiedBy>
  <cp:lastPrinted>2015-07-31T07:43:15Z</cp:lastPrinted>
  <dcterms:created xsi:type="dcterms:W3CDTF">2015-05-28T12:05:22Z</dcterms:created>
  <dcterms:modified xsi:type="dcterms:W3CDTF">2024-05-22T14:28:17Z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2023-03-17T13:53:34Z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0a2374b2-550e-4f09-8542-54ce4f4ae298</vt:lpwstr>
  </property>
  <property fmtid="{D5CDD505-2E9C-101B-9397-08002B2CF9AE}" pid="8" name="MSIP_Label_64070b25-3e51-4c49-94ac-1c89225a19f8_ContentBits">
    <vt:lpwstr>0</vt:lpwstr>
  </property>
</Properties>
</file>